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431" windowWidth="17100" windowHeight="12090" activeTab="0"/>
  </bookViews>
  <sheets>
    <sheet name="A" sheetId="1" r:id="rId1"/>
    <sheet name="B" sheetId="2" r:id="rId2"/>
    <sheet name="C" sheetId="3" r:id="rId3"/>
    <sheet name="D" sheetId="4" r:id="rId4"/>
    <sheet name="E" sheetId="5" r:id="rId5"/>
    <sheet name="F" sheetId="6" r:id="rId6"/>
    <sheet name="G" sheetId="7" r:id="rId7"/>
    <sheet name="H" sheetId="8" r:id="rId8"/>
    <sheet name="I" sheetId="9" r:id="rId9"/>
    <sheet name="J" sheetId="10" r:id="rId10"/>
    <sheet name="K" sheetId="11" r:id="rId11"/>
    <sheet name="L" sheetId="12" r:id="rId12"/>
    <sheet name="M" sheetId="13" r:id="rId13"/>
  </sheets>
  <definedNames>
    <definedName name="\0">'A'!$C$2</definedName>
    <definedName name="\A">'A'!$I$203</definedName>
    <definedName name="\ADDCORNER">'A'!$C$295</definedName>
    <definedName name="\ADDLIST">'A'!$C$245</definedName>
    <definedName name="\AREACOST">'A'!$C$185:$C$194</definedName>
    <definedName name="\COMMERCIAL">'A'!$I$186</definedName>
    <definedName name="\CONSETUP">'A'!$C$55</definedName>
    <definedName name="\COPYINF">'A'!$I$13</definedName>
    <definedName name="\COPYOUT">'A'!$C$164</definedName>
    <definedName name="\COPYROUND">'A'!$C$339</definedName>
    <definedName name="\COSTINP">'A'!$E$85</definedName>
    <definedName name="\CUMCASH">'A'!$C$196</definedName>
    <definedName name="\DELLINES">'A'!$C$28</definedName>
    <definedName name="\DELSHEETS">'A'!$C$30</definedName>
    <definedName name="\EXPINP">'A'!$I$3</definedName>
    <definedName name="\GOBACK">'A'!$C$139</definedName>
    <definedName name="\GODOWN">'A'!$C$260</definedName>
    <definedName name="\GOFORWARD">'A'!$C$141</definedName>
    <definedName name="\GOLF">'A'!$G$3</definedName>
    <definedName name="\GOLFCASHFLOW">'A'!$G$173</definedName>
    <definedName name="\GOLFEXPS">'A'!$G$106</definedName>
    <definedName name="\HOTCASHFLOW">'A'!$I$100</definedName>
    <definedName name="\HOTEL">'A'!$I$16</definedName>
    <definedName name="\I">'A'!$C$6</definedName>
    <definedName name="\INFALLOC">'A'!$C$174</definedName>
    <definedName name="\INFLATE">'A'!$C$145</definedName>
    <definedName name="\INITIALIZE">'A'!$C$8</definedName>
    <definedName name="\INPERR">'A'!$C$167</definedName>
    <definedName name="\INPUT">'A'!$C$152</definedName>
    <definedName name="\IRRERR">'A'!$C$224</definedName>
    <definedName name="\IRREST">'A'!$C$200</definedName>
    <definedName name="\LANDALLOC">'A'!$C$172</definedName>
    <definedName name="\LANDINP">'A'!$E$18</definedName>
    <definedName name="\LANDUSE">'A'!$C$96:$C$106</definedName>
    <definedName name="\LIST">'A'!$C$262</definedName>
    <definedName name="\M">'A'!$E$1</definedName>
    <definedName name="\MAIN">'A'!$E$3</definedName>
    <definedName name="\NEWSHEET">'A'!$C$108</definedName>
    <definedName name="\NPV">'A'!$C$212</definedName>
    <definedName name="\NS">'A'!$C$143</definedName>
    <definedName name="\PERCPUT">'A'!$C$346</definedName>
    <definedName name="\PRINT">'A'!$C$277</definedName>
    <definedName name="\PRINTALL">'A'!$C$305</definedName>
    <definedName name="\PRINTEACH">'A'!$C$312</definedName>
    <definedName name="\PRIVATE">'A'!$G$198</definedName>
    <definedName name="\PUBLIC">'A'!$G$13</definedName>
    <definedName name="\RECORDCONSOLID">'A'!$C$230</definedName>
    <definedName name="\RECREATE">'A'!$E$179</definedName>
    <definedName name="\REMINDER">'A'!$C$342</definedName>
    <definedName name="\RESID">'A'!$E$100</definedName>
    <definedName name="\ROUNDPUT">'A'!$C$325</definedName>
    <definedName name="\SAVE">'A'!$C$317</definedName>
    <definedName name="\SETUP">'A'!$C$32</definedName>
    <definedName name="\SUMLINE">'A'!$C$149</definedName>
    <definedName name="\UNITCOST">'A'!$C$176:$C$183</definedName>
    <definedName name="\USES">'A'!$I$123</definedName>
    <definedName name="\YEARTITL">'A'!$C$131</definedName>
    <definedName name="\ZEROOUT">'A'!$C$360</definedName>
    <definedName name="ACCEPTIRR">'A'!$M$34</definedName>
    <definedName name="ALLOCINFCOST">'B'!$I$97</definedName>
    <definedName name="AREA">'A'!$M$29</definedName>
    <definedName name="AREACOST">'A'!$M$32</definedName>
    <definedName name="BUILTAREA">'A'!$M$30</definedName>
    <definedName name="CLUB">'H'!#REF!</definedName>
    <definedName name="CLUBCOGS">'A'!$M$45</definedName>
    <definedName name="CLUBCOST">'I'!$E$36</definedName>
    <definedName name="COMCAPRATE">'A'!$M$69</definedName>
    <definedName name="COMM">'A'!$I$191</definedName>
    <definedName name="COMPONENT">'A'!$M$16</definedName>
    <definedName name="CONSCORNER">'C'!$P$44</definedName>
    <definedName name="CONSIRR">'C'!$E$40</definedName>
    <definedName name="CONTINRATE">'A'!$M$28</definedName>
    <definedName name="COSTAMT">'A'!$M$24</definedName>
    <definedName name="COSTCALC">'A'!$A$202</definedName>
    <definedName name="COSTCAT">'A'!$M$67</definedName>
    <definedName name="COSTPERUNIT">'G'!$E$37</definedName>
    <definedName name="COSTQUERY">'A'!$E$145</definedName>
    <definedName name="COUNT">'A'!$M$18</definedName>
    <definedName name="COUNTER">'A'!$M$10</definedName>
    <definedName name="CUMMEMBS">'H'!$G$24</definedName>
    <definedName name="CURRENTPRT">'A'!$AH$3</definedName>
    <definedName name="DATAINP">'A'!$M$17</definedName>
    <definedName name="DATAINPT">'A'!$C$153</definedName>
    <definedName name="DATENOW">'A'!$M$61</definedName>
    <definedName name="DATESTAMP">'A'!$M$60</definedName>
    <definedName name="DFROUNDS">'H'!$G$41</definedName>
    <definedName name="DISCRATE">'A'!$M$35</definedName>
    <definedName name="DRIVING">'H'!#REF!</definedName>
    <definedName name="DUES">'H'!$G$31</definedName>
    <definedName name="ENDPRINT">'A'!$C$292</definedName>
    <definedName name="EXPEND">'A'!$G$156</definedName>
    <definedName name="EXPENSES">'A'!$G$124</definedName>
    <definedName name="EXPINP">'A'!$I$3</definedName>
    <definedName name="EXPPERCENT">'A'!$G$141</definedName>
    <definedName name="F_B">'H'!#REF!</definedName>
    <definedName name="F_BCOGS">'A'!$M$43</definedName>
    <definedName name="F_BCOST">'I'!$E$34</definedName>
    <definedName name="F_BEXP">'I'!$E$41</definedName>
    <definedName name="F_BOPS">'A'!$M$74</definedName>
    <definedName name="FEES">'A'!$G$263</definedName>
    <definedName name="FINISHMARKER">'A'!$AO$7</definedName>
    <definedName name="G_APCT">'A'!$M$22</definedName>
    <definedName name="GETNPV">'A'!$C$214</definedName>
    <definedName name="GLAAREA">'M'!$K$22</definedName>
    <definedName name="GO">'A'!$C$36</definedName>
    <definedName name="GOFORWARD">'A'!$C$141</definedName>
    <definedName name="GOLF">'A'!$G$5</definedName>
    <definedName name="GOLFALLOC">'A'!$M$41</definedName>
    <definedName name="GOLFCAPRATE">'A'!$M$53</definedName>
    <definedName name="GOLFEXPENSE">'A'!$M$46</definedName>
    <definedName name="GOLFNETREV">'I'!$G$38</definedName>
    <definedName name="GOLFNOI">'I'!$G$51</definedName>
    <definedName name="GOLFREVS">'I'!#REF!</definedName>
    <definedName name="GOTOMARKER">'A'!$AO$1</definedName>
    <definedName name="GREENFEE">'H'!$G$47</definedName>
    <definedName name="GRESALES">'G'!$G$28</definedName>
    <definedName name="GUESTFEE">'H'!$G$43</definedName>
    <definedName name="GUESTFEES">'A'!$G$304</definedName>
    <definedName name="GUESTROUND">'H'!$G$35</definedName>
    <definedName name="HAVERATE">'A'!$C$216</definedName>
    <definedName name="HOTCAPRATE">'A'!$M$66</definedName>
    <definedName name="HOTCOSTS">'A'!$I$136</definedName>
    <definedName name="HOTL">'A'!$I$21</definedName>
    <definedName name="HOTNETGROSS">'A'!$M$63</definedName>
    <definedName name="HOTNOI">'K'!$G$62</definedName>
    <definedName name="HOTSOFT">'A'!$I$147</definedName>
    <definedName name="HPERCINP">'A'!$I$129</definedName>
    <definedName name="INFCHECK">'B'!$G$102</definedName>
    <definedName name="INFCO">'C'!$E$33</definedName>
    <definedName name="INFCOST">'A'!$M$25</definedName>
    <definedName name="INFINP">'A'!$C$46</definedName>
    <definedName name="INFLAT">'M'!$G$17</definedName>
    <definedName name="INFLATION">'A'!$M$9</definedName>
    <definedName name="INFPERCINP">'A'!$C$65</definedName>
    <definedName name="INFPLACEHOLDER">'B'!$C$96</definedName>
    <definedName name="INIT">'H'!$G$25</definedName>
    <definedName name="INITI">'A'!$M$3</definedName>
    <definedName name="INPEND">'A'!$E$48</definedName>
    <definedName name="INSERTYET">'A'!$M$13</definedName>
    <definedName name="IRRCOUNT">'A'!$M$58</definedName>
    <definedName name="IRREST">'A'!$M$33</definedName>
    <definedName name="IRRGET">'A'!$C$201</definedName>
    <definedName name="L_CPCT">'A'!$M$21</definedName>
    <definedName name="L_IDOLLARS">'B'!$C$14</definedName>
    <definedName name="LAND_USE">'A'!$M$8</definedName>
    <definedName name="LANDCOST">'B'!$I$81</definedName>
    <definedName name="LANDUNIT">'A'!$M$23</definedName>
    <definedName name="LASTCOST">'B'!$H$29</definedName>
    <definedName name="LDM">'A'!$C$3</definedName>
    <definedName name="LOTALLOC">'A'!$M$42</definedName>
    <definedName name="MEMBERS">'H'!$G$23</definedName>
    <definedName name="MEMPROCEEDS">'H'!$G$29</definedName>
    <definedName name="MENUSELECT">'A'!$M$4</definedName>
    <definedName name="MERCH">'H'!#REF!</definedName>
    <definedName name="MERCHCOGS">'A'!$M$44</definedName>
    <definedName name="MERCHCOST">'I'!$E$35</definedName>
    <definedName name="MERCHEXP">'I'!$E$42</definedName>
    <definedName name="MERCHOPS">'A'!$M$75</definedName>
    <definedName name="MK">'A'!$E$127</definedName>
    <definedName name="MKTGPCT">'A'!$M$19</definedName>
    <definedName name="NEWCONSOLID">'A'!$C$113</definedName>
    <definedName name="NEWSHEET">'A'!$C$108:$C$114</definedName>
    <definedName name="NEXTINIT">'A'!$C$20</definedName>
    <definedName name="NEXTNEXTINIT">'A'!$C$22</definedName>
    <definedName name="NOCOST">'A'!$G$137</definedName>
    <definedName name="NORETURN">'A'!$G$131</definedName>
    <definedName name="NOTSURE">'A'!$C$40</definedName>
    <definedName name="NUM_YEARS">'A'!$M$7</definedName>
    <definedName name="NUMCOMPONENTS">'A'!$M$51</definedName>
    <definedName name="NUMEXPS">'A'!$M$48</definedName>
    <definedName name="NUMGOLFCOSTS">'A'!$M$54</definedName>
    <definedName name="NUMHOTCOSTS">'A'!$M$68</definedName>
    <definedName name="NUMINPS">'A'!$M$55</definedName>
    <definedName name="NUMROOMS">'K'!$J$22</definedName>
    <definedName name="NUMSHEETS">'A'!$M$13</definedName>
    <definedName name="NUMTAB">'A'!$M$36</definedName>
    <definedName name="NUMYEARSINP">'A'!$C$44</definedName>
    <definedName name="OKCOST">'A'!$E$149</definedName>
    <definedName name="OKLAND">'A'!$E$32</definedName>
    <definedName name="OPEXP">'A'!$G$121</definedName>
    <definedName name="OVERAGAIN">'A'!$E$209</definedName>
    <definedName name="OVEREXP">'A'!$M$73</definedName>
    <definedName name="P_CPCT">'A'!$M$21</definedName>
    <definedName name="PARKALLOC">'A'!$M$72</definedName>
    <definedName name="PERCAP">'A'!$M$70</definedName>
    <definedName name="PERCPUTT">'A'!$C$348</definedName>
    <definedName name="PLACEHOLDER">'M'!$C$59</definedName>
    <definedName name="_xlnm.Print_Area" localSheetId="1">'B'!$C$10:$I$38</definedName>
    <definedName name="_xlnm.Print_Area" localSheetId="2">'C'!$C$10:$P$42</definedName>
    <definedName name="_xlnm.Print_Area" localSheetId="3">'D'!$C$10:$P$52</definedName>
    <definedName name="_xlnm.Print_Area" localSheetId="4">'E'!$C$10:$P$52</definedName>
    <definedName name="_xlnm.Print_Area" localSheetId="5">'F'!$C$10:$P$52</definedName>
    <definedName name="_xlnm.Print_Area" localSheetId="6">'G'!$C$10:$P$55</definedName>
    <definedName name="_xlnm.Print_Area" localSheetId="7">'H'!$C$10:$P$51</definedName>
    <definedName name="_xlnm.Print_Area" localSheetId="8">'I'!$C$10:$P$51</definedName>
    <definedName name="_xlnm.Print_Area" localSheetId="9">'J'!$C$10:$P$47</definedName>
    <definedName name="_xlnm.Print_Area" localSheetId="10">'K'!$C$10:$P$65</definedName>
    <definedName name="_xlnm.Print_Area" localSheetId="11">'L'!$C$10:$P$44</definedName>
    <definedName name="_xlnm.Print_Area" localSheetId="12">'M'!$C$10:$P$59</definedName>
    <definedName name="PRINTSEL">'A'!$C$279</definedName>
    <definedName name="PRINTT1">'B'!$A$10</definedName>
    <definedName name="PRIV">'A'!$G$8</definedName>
    <definedName name="PRIVATE">'A'!$M$37</definedName>
    <definedName name="PROJ_NAME">'A'!$M$5</definedName>
    <definedName name="PROJABS">'A'!$E$105</definedName>
    <definedName name="QUESTION">'A'!$M$47</definedName>
    <definedName name="QUITAGAIN">'A'!$C$320</definedName>
    <definedName name="READY">'A'!$C$161</definedName>
    <definedName name="REC">'A'!$E$184</definedName>
    <definedName name="RECEXPENSE">'A'!$M$71</definedName>
    <definedName name="RERUNSETUP">'A'!$M$15</definedName>
    <definedName name="RES">'A'!$D$100:$E$177</definedName>
    <definedName name="RESORT">'A'!$M$38</definedName>
    <definedName name="ROOMSIZE">'A'!$M$62</definedName>
    <definedName name="ROOMTOTOT">'A'!$M$64</definedName>
    <definedName name="ROUNDPUTT">'A'!$C$327</definedName>
    <definedName name="RUNSETUP">'A'!$M$14</definedName>
    <definedName name="SALESPCT">'A'!$M$20</definedName>
    <definedName name="SAVE">'A'!$B$317:$C$323</definedName>
    <definedName name="SCRATE">'A'!$M$27</definedName>
    <definedName name="SELF">'A'!$C$318</definedName>
    <definedName name="SEMI">'A'!$G$242</definedName>
    <definedName name="SEMIPRIV">'A'!$M$57</definedName>
    <definedName name="START_YEAR">'A'!$M$6</definedName>
    <definedName name="STARTMARKER">'A'!$AO$4</definedName>
    <definedName name="STARTYEARINP">'A'!$C$38</definedName>
    <definedName name="T1BCORNER">'B'!$H$39</definedName>
    <definedName name="TABLE">'A'!$A$52</definedName>
    <definedName name="TABLE1">'B'!$C$10:$H$58</definedName>
    <definedName name="TABLEGO">'A'!$C$264</definedName>
    <definedName name="THERE">'I'!$E$43</definedName>
    <definedName name="TOOMUCH">'A'!$M$56</definedName>
    <definedName name="TOTALAND">'A'!$M$24</definedName>
    <definedName name="TOTCOMREVS">'M'!$G$26</definedName>
    <definedName name="TOTCOST">'A'!$M$26</definedName>
    <definedName name="TOTDEVAREA">'B'!$F$86</definedName>
    <definedName name="TOTHOTREVS">'K'!$G$33</definedName>
    <definedName name="TOTINF">'A'!$M$52</definedName>
    <definedName name="TOTLAND">'A'!$M$50</definedName>
    <definedName name="TOTLANDCOST">'A'!$M$49</definedName>
    <definedName name="TOTPROJAREA">'B'!$F$90</definedName>
    <definedName name="TRYAGAIN">'A'!$E$91</definedName>
    <definedName name="UNITAREAS">'A'!$M$76</definedName>
    <definedName name="UNITCOST">'A'!$M$31</definedName>
    <definedName name="USELIST">'A'!$P$4</definedName>
    <definedName name="USETITLE">'A'!$M$65</definedName>
    <definedName name="WHOLE">'A'!$M$59</definedName>
    <definedName name="WKDY">'H'!$E$46</definedName>
    <definedName name="WKDYPLAY">'A'!$M$40</definedName>
    <definedName name="WKND">'H'!$E$45</definedName>
    <definedName name="WKNDPLAY">'A'!$M$39</definedName>
    <definedName name="WRONGLAND">'A'!$E$23</definedName>
    <definedName name="YEAR">'A'!$M$12</definedName>
    <definedName name="YEARCOUNT">'A'!$M$11</definedName>
  </definedNames>
  <calcPr fullCalcOnLoad="1"/>
</workbook>
</file>

<file path=xl/sharedStrings.xml><?xml version="1.0" encoding="utf-8"?>
<sst xmlns="http://schemas.openxmlformats.org/spreadsheetml/2006/main" count="1489" uniqueCount="710">
  <si>
    <t>Name</t>
  </si>
  <si>
    <t>Macro Code</t>
  </si>
  <si>
    <t>\m</t>
  </si>
  <si>
    <t>{indicate}{branch \main}</t>
  </si>
  <si>
    <t>Variables</t>
  </si>
  <si>
    <t>Ranges</t>
  </si>
  <si>
    <t>gotomarker</t>
  </si>
  <si>
    <t>D:$C10</t>
  </si>
  <si>
    <t>\0</t>
  </si>
  <si>
    <t>:dognqq{goto}a:v39~</t>
  </si>
  <si>
    <t>▒ PRO - GEN ▒</t>
  </si>
  <si>
    <t>{return}</t>
  </si>
  <si>
    <t>{goto}a:W3~</t>
  </si>
  <si>
    <t>\MAIN</t>
  </si>
  <si>
    <t>{goto}a:v2~{goto}aa18~</t>
  </si>
  <si>
    <t>initi</t>
  </si>
  <si>
    <t>n</t>
  </si>
  <si>
    <t>{branch \main}</t>
  </si>
  <si>
    <t>{get menuselect}/re~</t>
  </si>
  <si>
    <t>menuselect</t>
  </si>
  <si>
    <t>6</t>
  </si>
  <si>
    <t>LAND USE/PROFIT CENTER CATEGORIES</t>
  </si>
  <si>
    <t>ECONOMICS RESEARCH ASSOCIATES</t>
  </si>
  <si>
    <t>LISTING OF MODEL OUTPUT</t>
  </si>
  <si>
    <t>startmarker</t>
  </si>
  <si>
    <t>{if menuselect="1"}{branch \setup}</t>
  </si>
  <si>
    <t>Proj_name</t>
  </si>
  <si>
    <t>Sample Resort Complex</t>
  </si>
  <si>
    <t>Interactive Pro Forma Generator</t>
  </si>
  <si>
    <t>\i</t>
  </si>
  <si>
    <t>{\initialize}{branch \main}</t>
  </si>
  <si>
    <t>{if menuselect="2"}{branch \landinp}</t>
  </si>
  <si>
    <t>Start_year</t>
  </si>
  <si>
    <t>1.</t>
  </si>
  <si>
    <t>Residential Real Estate</t>
  </si>
  <si>
    <t>MAIN MENU</t>
  </si>
  <si>
    <t>1</t>
  </si>
  <si>
    <t>Table 1</t>
  </si>
  <si>
    <t>B:C10</t>
  </si>
  <si>
    <t>b:i58</t>
  </si>
  <si>
    <t>{if menuselect="3"}{branch \landuse}</t>
  </si>
  <si>
    <t>Num_years</t>
  </si>
  <si>
    <t>2.</t>
  </si>
  <si>
    <t>Golf</t>
  </si>
  <si>
    <t>2</t>
  </si>
  <si>
    <t>Table 2</t>
  </si>
  <si>
    <t>Consolidated Cash Flow</t>
  </si>
  <si>
    <t>C:C10</t>
  </si>
  <si>
    <t>finishmarker</t>
  </si>
  <si>
    <t>$M:$P$54</t>
  </si>
  <si>
    <t>\initialize</t>
  </si>
  <si>
    <t>{panelon}{getlabel "Do you wish to initialize the model [YES WILL ERASE ALL DATA](y or n)? ",initi}</t>
  </si>
  <si>
    <t>{if menuselect="4"}{branch \list}</t>
  </si>
  <si>
    <t>Land_use</t>
  </si>
  <si>
    <t>4</t>
  </si>
  <si>
    <t>3.</t>
  </si>
  <si>
    <t>Hotel</t>
  </si>
  <si>
    <t xml:space="preserve">1. </t>
  </si>
  <si>
    <t>Initial Setup of Model Parameters</t>
  </si>
  <si>
    <t>3</t>
  </si>
  <si>
    <t>Table 3</t>
  </si>
  <si>
    <t>Residential Plots</t>
  </si>
  <si>
    <t>$D:$P$48</t>
  </si>
  <si>
    <t>{if initi="n"}{return}</t>
  </si>
  <si>
    <t>{if menuselect="5"}{branch \print}</t>
  </si>
  <si>
    <t>Inflation</t>
  </si>
  <si>
    <t>4.</t>
  </si>
  <si>
    <t>Commercial Space</t>
  </si>
  <si>
    <t xml:space="preserve">2. </t>
  </si>
  <si>
    <t>Input Land and Infrastructure Costs</t>
  </si>
  <si>
    <t>Table 4</t>
  </si>
  <si>
    <t>Villas</t>
  </si>
  <si>
    <t>E:$C10</t>
  </si>
  <si>
    <t>$E:$P$50</t>
  </si>
  <si>
    <t>{if initi&lt;&gt;"y"}{beep}{branch \initialize}</t>
  </si>
  <si>
    <t>{if menuselect="6"}{branch \save}</t>
  </si>
  <si>
    <t>Counter</t>
  </si>
  <si>
    <t xml:space="preserve">5. </t>
  </si>
  <si>
    <t>Mass Attendance Attraction</t>
  </si>
  <si>
    <t xml:space="preserve">3. </t>
  </si>
  <si>
    <t>Input Land Use Data &amp; Run Pro Formas</t>
  </si>
  <si>
    <t>5</t>
  </si>
  <si>
    <t>Table 5</t>
  </si>
  <si>
    <t>Clustered Units</t>
  </si>
  <si>
    <t>F:$C10</t>
  </si>
  <si>
    <t>$F:$P$50</t>
  </si>
  <si>
    <t>{if numsheets&lt;3}{let runsetup,""}{let rerunsetup,"y"}{branch nextnextinit}</t>
  </si>
  <si>
    <t>{if menuselect="7"}{branch \i}</t>
  </si>
  <si>
    <t>yearcount</t>
  </si>
  <si>
    <t>6.</t>
  </si>
  <si>
    <t>Customized Pro Forma (headings only)</t>
  </si>
  <si>
    <t xml:space="preserve">4. </t>
  </si>
  <si>
    <t>List Output Tables and Goto Table</t>
  </si>
  <si>
    <t>Table 6</t>
  </si>
  <si>
    <t>Timeshare Village</t>
  </si>
  <si>
    <t>G:$C10</t>
  </si>
  <si>
    <t>$G:$P$49</t>
  </si>
  <si>
    <t>{goto}c:a1~</t>
  </si>
  <si>
    <t>{if menuselect="8"}{let datestamp,@now}{branch \main}</t>
  </si>
  <si>
    <t>year</t>
  </si>
  <si>
    <t>7.</t>
  </si>
  <si>
    <t>Return to Main Menu</t>
  </si>
  <si>
    <t>Print Model Output</t>
  </si>
  <si>
    <t>7</t>
  </si>
  <si>
    <t>Table 7</t>
  </si>
  <si>
    <t>Golf &amp; Country Club Operating Assumptions</t>
  </si>
  <si>
    <t>h:$C10</t>
  </si>
  <si>
    <t>$H:$P$50</t>
  </si>
  <si>
    <t>{for counter,1,numsheets-2,1,\delsheets}</t>
  </si>
  <si>
    <t>{if menuselect="9"}{beep}{indicate "PRO-GEN halted, Press Alt-M to restart"}{quit}</t>
  </si>
  <si>
    <t>numsheets</t>
  </si>
  <si>
    <t xml:space="preserve">6. </t>
  </si>
  <si>
    <t>Save and Optional Quit</t>
  </si>
  <si>
    <t>8</t>
  </si>
  <si>
    <t>Table 8</t>
  </si>
  <si>
    <t>Golf &amp; Country Club Budgeted Operating Statement</t>
  </si>
  <si>
    <t>I:$C10</t>
  </si>
  <si>
    <t>$I:$P$49</t>
  </si>
  <si>
    <t>{goto}b:c19~</t>
  </si>
  <si>
    <t>{beep}{indicate "Error in entry.  Press return and try again"}</t>
  </si>
  <si>
    <t>runsetup</t>
  </si>
  <si>
    <t>y</t>
  </si>
  <si>
    <t>Enter your selection:</t>
  </si>
  <si>
    <t xml:space="preserve">7. </t>
  </si>
  <si>
    <t>Reinitialize Model (start over)</t>
  </si>
  <si>
    <t>9</t>
  </si>
  <si>
    <t>Table 9</t>
  </si>
  <si>
    <t>Golf &amp; Country Club Cash Flow</t>
  </si>
  <si>
    <t>J:$C10</t>
  </si>
  <si>
    <t>$J:$P$48</t>
  </si>
  <si>
    <t>/re.{r 6}{d 4}~</t>
  </si>
  <si>
    <t>{?}{indicate}</t>
  </si>
  <si>
    <t>rerunsetup</t>
  </si>
  <si>
    <t xml:space="preserve">8. </t>
  </si>
  <si>
    <t>Date Stamp this Run</t>
  </si>
  <si>
    <t>10</t>
  </si>
  <si>
    <t>Table 10</t>
  </si>
  <si>
    <t>Resort Hotel Operating Statement</t>
  </si>
  <si>
    <t>K:$C10</t>
  </si>
  <si>
    <t>$K:$P$60</t>
  </si>
  <si>
    <t>{goto}b:c28~</t>
  </si>
  <si>
    <t>component</t>
  </si>
  <si>
    <t>Commercial Complex Cash Flow</t>
  </si>
  <si>
    <t xml:space="preserve">9. </t>
  </si>
  <si>
    <t>Escape from Program</t>
  </si>
  <si>
    <t>11</t>
  </si>
  <si>
    <t>Table 11</t>
  </si>
  <si>
    <t>Resort Hotel Cash Flow</t>
  </si>
  <si>
    <t>L:$C10</t>
  </si>
  <si>
    <t>$L:$P$46</t>
  </si>
  <si>
    <t>/re.{r 6}{d 27}~</t>
  </si>
  <si>
    <t>datainp</t>
  </si>
  <si>
    <t>c</t>
  </si>
  <si>
    <t>12</t>
  </si>
  <si>
    <t>Table 12</t>
  </si>
  <si>
    <t>M:$C10</t>
  </si>
  <si>
    <t>$M:$P$58</t>
  </si>
  <si>
    <t>{goto}b:c81~{if totdevarea=0}{branch nextinit}</t>
  </si>
  <si>
    <t>count</t>
  </si>
  <si>
    <t xml:space="preserve">Enter Your Selection:  </t>
  </si>
  <si>
    <t>{for counter,1,numcomponents,1,\dellines}</t>
  </si>
  <si>
    <t>mktgpct</t>
  </si>
  <si>
    <t>nextinit</t>
  </si>
  <si>
    <t>{goto}b:c93~{if infcheck=0}{branch nextnextinit}</t>
  </si>
  <si>
    <t>salespct</t>
  </si>
  <si>
    <t>l&amp;cpct</t>
  </si>
  <si>
    <t>nextnextinit</t>
  </si>
  <si>
    <t>{let numsheets,2}{let proj_name,""}</t>
  </si>
  <si>
    <t>g&amp;apct</t>
  </si>
  <si>
    <t>{let start_year,0}{let inflation,0}{let discrate,0}</t>
  </si>
  <si>
    <t>landunit</t>
  </si>
  <si>
    <t>acres</t>
  </si>
  <si>
    <t>{let num_years,0}{let runsetup,""}{let rerunsetup,"y"}</t>
  </si>
  <si>
    <t>costamt</t>
  </si>
  <si>
    <t>{let golfalloc,0}/rea:ae9.a:ak60~{let numcomponents,0}</t>
  </si>
  <si>
    <t>infcost</t>
  </si>
  <si>
    <t>q</t>
  </si>
  <si>
    <t>{let lotalloc,0}{let parkalloc,0}{return}</t>
  </si>
  <si>
    <t>totcost</t>
  </si>
  <si>
    <t>scrate</t>
  </si>
  <si>
    <t>\dellines</t>
  </si>
  <si>
    <t>/wdr~</t>
  </si>
  <si>
    <t>continrate</t>
  </si>
  <si>
    <t>area</t>
  </si>
  <si>
    <t>\delsheets</t>
  </si>
  <si>
    <t>/wds~</t>
  </si>
  <si>
    <t>builtarea</t>
  </si>
  <si>
    <t>unitcost</t>
  </si>
  <si>
    <t>\setup</t>
  </si>
  <si>
    <t>{goto}a:v39~{let datestamp,@now}</t>
  </si>
  <si>
    <t>areacost</t>
  </si>
  <si>
    <t>{if runsetup="y"}{getlabel "You want to re-run setup? ",rerunsetup}{if rerunsetup="n"}{branch \main}</t>
  </si>
  <si>
    <t>irrest</t>
  </si>
  <si>
    <t>{if rerunsetup="y"}{branch go}</t>
  </si>
  <si>
    <t>acceptirr</t>
  </si>
  <si>
    <t>{branch \setup}</t>
  </si>
  <si>
    <t>discrate</t>
  </si>
  <si>
    <t>go</t>
  </si>
  <si>
    <t>{Getlabel "Enter the name of the project:  ",proj_name}</t>
  </si>
  <si>
    <t>numtab</t>
  </si>
  <si>
    <t>{if proj_name=""}{beep}{branch go}</t>
  </si>
  <si>
    <t>private</t>
  </si>
  <si>
    <t>startyearinp</t>
  </si>
  <si>
    <t>{Getnumber "Enter the beginning year of the analysis: ",Start_year}</t>
  </si>
  <si>
    <t>resort</t>
  </si>
  <si>
    <t>{if @iserr(start_year)=1}{beep}{branch startyearinp}</t>
  </si>
  <si>
    <t>wkndplay</t>
  </si>
  <si>
    <t>notsure</t>
  </si>
  <si>
    <t>{if start_year&lt;1990}{getlabel "Are you sure the analysis is that old (y or n): ",question}</t>
  </si>
  <si>
    <t>wkdyplay</t>
  </si>
  <si>
    <t>{if start_year&gt;1989}{branch numyearsinp}</t>
  </si>
  <si>
    <t>golfalloc</t>
  </si>
  <si>
    <t>MULTIPLE LAND USES</t>
  </si>
  <si>
    <t>{if question="n"}{branch startyearinp}</t>
  </si>
  <si>
    <t>lotalloc</t>
  </si>
  <si>
    <t>INTERACTIVE PRO FORMA GENERATOR</t>
  </si>
  <si>
    <t>{if question&lt;&gt;"y"}{branch notsure}</t>
  </si>
  <si>
    <t>f&amp;bcogs</t>
  </si>
  <si>
    <t>numyearsinp</t>
  </si>
  <si>
    <t>{Getnumber "Enter the number of years of the analysis period:  ",num_years}</t>
  </si>
  <si>
    <t>merchcogs</t>
  </si>
  <si>
    <t>{if @iserr(num_years)=1}{beep}{branch numyearsinp}</t>
  </si>
  <si>
    <t>clubcogs</t>
  </si>
  <si>
    <t>infinp</t>
  </si>
  <si>
    <t>{getnumber "Enter the inflation rate: ",inflation}</t>
  </si>
  <si>
    <t>golfexpense</t>
  </si>
  <si>
    <t>{if inflation&gt;.1}{beep}{indicate "Unless this is Russia, that rate is too high.  Press return."}{?}{indicate}{branch infinp}</t>
  </si>
  <si>
    <t>question</t>
  </si>
  <si>
    <t>a</t>
  </si>
  <si>
    <t>{goto}b:a1~/wisa~{goto}c:c10~/rnchere~~/rndhere~/rnchere~~</t>
  </si>
  <si>
    <t>numexps</t>
  </si>
  <si>
    <t>_x0010_ MODEL SETUP PROCEDURES _x0011_</t>
  </si>
  <si>
    <t>{let here,@proper("Table "&amp;@string(numsheets,0))}/rndhere~</t>
  </si>
  <si>
    <t>totlandcost</t>
  </si>
  <si>
    <t>{d 2}{newconsolid}{goto}c13~Consolidated Cash Flow~</t>
  </si>
  <si>
    <t>totland</t>
  </si>
  <si>
    <t>{\consetup}</t>
  </si>
  <si>
    <t>numcomponents</t>
  </si>
  <si>
    <t>{let runsetup,"y"}</t>
  </si>
  <si>
    <t>totinf</t>
  </si>
  <si>
    <t>golfcaprate</t>
  </si>
  <si>
    <t>Copyright © 1994 by Economics Research Associates.  All rights reserved</t>
  </si>
  <si>
    <t>numgolfcosts</t>
  </si>
  <si>
    <t>No part of this software may be reproduced or transmitted in any form by</t>
  </si>
  <si>
    <t>\consetup</t>
  </si>
  <si>
    <t>{let numsheets,3}{goto}c:c20~{r 3}</t>
  </si>
  <si>
    <t>numinps</t>
  </si>
  <si>
    <t>any means without prior written permission of Economics Research Associates.</t>
  </si>
  <si>
    <t>{for counter,1,num_years+1,1,\sumline}</t>
  </si>
  <si>
    <t>toomuch</t>
  </si>
  <si>
    <t>{for counter,1,num_years+1,1,\goback}</t>
  </si>
  <si>
    <t>semipriv</t>
  </si>
  <si>
    <t>{d}{l 3}</t>
  </si>
  <si>
    <t>irrcount</t>
  </si>
  <si>
    <t>Cash Flow Before Common Costs~</t>
  </si>
  <si>
    <t>whole</t>
  </si>
  <si>
    <t>{r 3}@sum({u 2}.{d})~/rfc1~~</t>
  </si>
  <si>
    <t>datestamp</t>
  </si>
  <si>
    <t>/c~{r}.{r num_years-1}~</t>
  </si>
  <si>
    <t>datenow</t>
  </si>
  <si>
    <t>{l 3}{d 2}</t>
  </si>
  <si>
    <t>roomsize</t>
  </si>
  <si>
    <t>Land Cost~{r 3}{d}{l 3}</t>
  </si>
  <si>
    <t>hotnetgross</t>
  </si>
  <si>
    <t>Infrastructure Allocation %~{r 3}/rnctot~~{let whole,0}{r}</t>
  </si>
  <si>
    <t>roomtotot</t>
  </si>
  <si>
    <t>infpercinp</t>
  </si>
  <si>
    <t>{\percput}</t>
  </si>
  <si>
    <t>usetitle</t>
  </si>
  <si>
    <t>Commercial Complex</t>
  </si>
  <si>
    <t>{goto}tot~/rfp0~{r}.{r num_years}~</t>
  </si>
  <si>
    <t>hotcaprate</t>
  </si>
  <si>
    <t>@sum({r}.{r num_years-1})~</t>
  </si>
  <si>
    <t>costcat</t>
  </si>
  <si>
    <t>/rnchere~~/rfh~~</t>
  </si>
  <si>
    <t>numhotcosts</t>
  </si>
  <si>
    <t>{if here&gt;1}{r}{beep}{indicate "Percents add to &gt; 100%.  Press a key."}{?}{indicate}{branch infpercinp}</t>
  </si>
  <si>
    <t>comcaprate</t>
  </si>
  <si>
    <t>{if here&lt;1}{r}{beep}{indicate "Percents add to &lt; 100%.  Press a key."}{?}{indicate}{branch infpercinp}</t>
  </si>
  <si>
    <t>percap</t>
  </si>
  <si>
    <t>recexpense</t>
  </si>
  <si>
    <t>Infrastructure Costs~{r 2}/rncinfco~~/rndinfco~/rncinfco~~{r 2}</t>
  </si>
  <si>
    <t>parkalloc</t>
  </si>
  <si>
    <t>-$totinf*{u}*{u 8}~/rfc1~~</t>
  </si>
  <si>
    <t>overexp</t>
  </si>
  <si>
    <t>/c~{r}.{r num_years-2}~{l}@sum({r}.{r num_years-1})~/rfc1~~{d}</t>
  </si>
  <si>
    <t>f&amp;bops</t>
  </si>
  <si>
    <t>merchops</t>
  </si>
  <si>
    <t>unitareas</t>
  </si>
  <si>
    <t>NET CASH FLOW~</t>
  </si>
  <si>
    <t>{r 3}+{u 2}+{u 4}+{u 6}~/rfc1~~</t>
  </si>
  <si>
    <t>CUMULATIVE CASH FLOW~{r 4}</t>
  </si>
  <si>
    <t>+{u 2}~/rfc1~~{r}</t>
  </si>
  <si>
    <t>{for counter,1,num_years-1,1,\cumcash}</t>
  </si>
  <si>
    <t>{for counter,1,num_years+4,1,\goback}</t>
  </si>
  <si>
    <t>{d 3}</t>
  </si>
  <si>
    <t>Internal Rate of Return~{l}.15~{r 3}</t>
  </si>
  <si>
    <t>@irr({l 3},{u 5}{r 2}.{end}{r})~/rfp1~~/rncconsirr~~/rndconsirr~/rncconsirr~~</t>
  </si>
  <si>
    <t>{if @iserr(consirr)=1}/rfh~~</t>
  </si>
  <si>
    <t>{\npv}</t>
  </si>
  <si>
    <t>{d 4}Source:  Economics Research Associates~</t>
  </si>
  <si>
    <t>{r num_years+3}/rncconscorner~~/rndconscorner~/rncconscorner~~</t>
  </si>
  <si>
    <t>\landuse</t>
  </si>
  <si>
    <t>{goto}A:n1~{goto}s14~</t>
  </si>
  <si>
    <t>{get land_use}</t>
  </si>
  <si>
    <t>{if land_use="1"}{branch \resid}</t>
  </si>
  <si>
    <t>{if land_use="2"}{branch \golf}</t>
  </si>
  <si>
    <t>{if land_use="3"}{branch \hotel}</t>
  </si>
  <si>
    <t>{if land_use="4"}{branch \commercial}</t>
  </si>
  <si>
    <t>{if land_use="5"}{branch \recreate}</t>
  </si>
  <si>
    <t>{if land_use="6"}{\newsheet}{quit}</t>
  </si>
  <si>
    <t>{if land_use="7"}{branch \main}</t>
  </si>
  <si>
    <t>{beep}{indicate "Error in entry.  Press return and try again"}{?}{indicate}</t>
  </si>
  <si>
    <t>{branch \landuse}</t>
  </si>
  <si>
    <t>\newsheet</t>
  </si>
  <si>
    <t>{fc}</t>
  </si>
  <si>
    <t>{for counter,1,numsheets-1,1,\ns}</t>
  </si>
  <si>
    <t>/wisa~{let numsheets,numsheets+1}</t>
  </si>
  <si>
    <t>{r 2}{d 9}/rnchere~~/rndhere~/rnchere~~</t>
  </si>
  <si>
    <t>{let here,@proper("Table "&amp;@string(numsheets-1,0))}{d 2}</t>
  </si>
  <si>
    <t>newconsolid</t>
  </si>
  <si>
    <t>+@upper(proj_name)&amp; " PRO FORMA CASH FLOW MODEL"~{d}</t>
  </si>
  <si>
    <t>{u 3}:fbs{d 5}~{d 4}Thousands of Dollars~{d 2}</t>
  </si>
  <si>
    <t>Inflation:~{r}+inflation~</t>
  </si>
  <si>
    <t>~</t>
  </si>
  <si>
    <t>/rfp0~~</t>
  </si>
  <si>
    <t>{l}:flo{r}~</t>
  </si>
  <si>
    <t>{d 2}{r 3}"    Total    ~:fus~{r}</t>
  </si>
  <si>
    <t>{let yearcount,0}</t>
  </si>
  <si>
    <t>{for counter,1,num_years,1,\yeartitl}</t>
  </si>
  <si>
    <t>{u 3}{l 2}Run date:~{r}+datestamp~/rfd4~~{r}</t>
  </si>
  <si>
    <t>{for counter,1,yearcount,1,\goback}{u}</t>
  </si>
  <si>
    <t>1~/rfh~/rncinflat~~/rndinflat~/rncinflat~~</t>
  </si>
  <si>
    <t>{for counter,1,yearcount-1,1,\inflate}</t>
  </si>
  <si>
    <t>{for counter,1,yearcount,1,\goback}</t>
  </si>
  <si>
    <t>{l 3}{u 3}</t>
  </si>
  <si>
    <t>\yeartitl</t>
  </si>
  <si>
    <t>{let year,start_year+yearcount}</t>
  </si>
  <si>
    <t>/rnccuryear~~</t>
  </si>
  <si>
    <t>{let curyear,@string(year,0)}</t>
  </si>
  <si>
    <t>/rndcuryear~</t>
  </si>
  <si>
    <t>{edit}{l 4}{bs}"     {r 4}     ~</t>
  </si>
  <si>
    <t>:fus~{r}</t>
  </si>
  <si>
    <t>{let yearcount,yearcount+1}</t>
  </si>
  <si>
    <t>\goback</t>
  </si>
  <si>
    <t>{left}</t>
  </si>
  <si>
    <t>\goforward</t>
  </si>
  <si>
    <t>{right}</t>
  </si>
  <si>
    <t>\ns</t>
  </si>
  <si>
    <t>{ns}</t>
  </si>
  <si>
    <t>\inflate</t>
  </si>
  <si>
    <t>{r}</t>
  </si>
  <si>
    <t>+{l}*(1+d16)~</t>
  </si>
  <si>
    <t>/rfh~</t>
  </si>
  <si>
    <t>\sumline</t>
  </si>
  <si>
    <t>"_________~</t>
  </si>
  <si>
    <t>\input</t>
  </si>
  <si>
    <t>{let count,num_years}{let counter,1}</t>
  </si>
  <si>
    <t>datainpt</t>
  </si>
  <si>
    <t>{if counter&gt;count}{return}</t>
  </si>
  <si>
    <t>{getlabel "Enter data, ('c' to copy out previous entry, 'b' to backup): ",datainp}</t>
  </si>
  <si>
    <t>{if datainp="c"}{\copyout}{return}</t>
  </si>
  <si>
    <t>{if datainp="b"}{l}{let counter,counter-1}{branch datainpt}</t>
  </si>
  <si>
    <t>{if @iserr(@value(datainp))=1}{\inperr}{branch datainpt}</t>
  </si>
  <si>
    <t>/rnchere~~/rndhere~/rnchere~~</t>
  </si>
  <si>
    <t>{let here,@value(datainp)}</t>
  </si>
  <si>
    <t>/rndhere~{r}</t>
  </si>
  <si>
    <t>{let counter,counter+1}</t>
  </si>
  <si>
    <t>{branch datainpt}</t>
  </si>
  <si>
    <t>\copyout</t>
  </si>
  <si>
    <t>/c{esc}{l}~.{r num_years-counter}~</t>
  </si>
  <si>
    <t>\inperr</t>
  </si>
  <si>
    <t>{indicate "Data entry error.  Enter numbers or 'c'.  Press return."}</t>
  </si>
  <si>
    <t>{beep}{?}</t>
  </si>
  <si>
    <t>{indicate}</t>
  </si>
  <si>
    <t>\landalloc</t>
  </si>
  <si>
    <t>\infalloc</t>
  </si>
  <si>
    <t>\unitcost</t>
  </si>
  <si>
    <t>{getnumber "Enter the cost per unit (in thousands): ",unitcost}</t>
  </si>
  <si>
    <t>{if @iserr(unitcost)=1}{beep}{indicate "Invalid entry. Press return"}{?}{indicate}{branch \unitcost}</t>
  </si>
  <si>
    <t>{let here,unitcost}/rndhere~</t>
  </si>
  <si>
    <t>/rfc1~~/rnccostperunit~~/rndcostperunit~/rnccostperunit~~{r 2}</t>
  </si>
  <si>
    <t>+$costperunit*inflat*{u 13}{r}~/rfc1~~/c~{r}.{r num_years-2}~{l}</t>
  </si>
  <si>
    <t>@sum({r}.{r num_years-1})~/rfc1~~</t>
  </si>
  <si>
    <t>\areacost</t>
  </si>
  <si>
    <t>{getnumber "Enter the cost per area unit (not in thousands): ",areacost}</t>
  </si>
  <si>
    <t>{getnumber "Enter the average area per unit: ",unitareas}</t>
  </si>
  <si>
    <t>{if @iserr(areacost)=1}{beep}{indicate "Invalid entry. Press return"}{?}{indicate}{branch \areacost}</t>
  </si>
  <si>
    <t>{l 4}/rnchere~~/rndhere~/rnchere~~</t>
  </si>
  <si>
    <t>{let here,areacost}{u}Cost per area~{d}/rndhere~</t>
  </si>
  <si>
    <t>/rnccostperarea~~/rndcostperarea~/rnccostperarea~~{r 4}</t>
  </si>
  <si>
    <t>(+costperarea*unitareas)/1000~/rfc1~~</t>
  </si>
  <si>
    <t>/rnccostperunit~~/rndcostperunit~/rnccostperunit~~{r 2}</t>
  </si>
  <si>
    <t>@sum({r}.{r num_years})~</t>
  </si>
  <si>
    <t>\cumcash</t>
  </si>
  <si>
    <t>+{L}+{U 2}~</t>
  </si>
  <si>
    <t>/rfc1~~</t>
  </si>
  <si>
    <t>\irrest</t>
  </si>
  <si>
    <t>{let irrcount,0}</t>
  </si>
  <si>
    <t>irrget</t>
  </si>
  <si>
    <t>{getnumber "Enter an estimate for the IRR calculation:  ",irrest}</t>
  </si>
  <si>
    <t>u</t>
  </si>
  <si>
    <t>{l 3}/rnchere~~/rndhere~/rnchere~~{let here,irrest}/rndhere~{r 3}</t>
  </si>
  <si>
    <t>@irr({l 3},{u 5}{r 2}.{end}{r})~/rfp1~~{r}</t>
  </si>
  <si>
    <t>@iserr({l})~/rnccheckerr~~/rndcheckerr~/rnccheckerr~~/rfh~~</t>
  </si>
  <si>
    <t>{if checkerr=1}{l}{branch \irrerr}</t>
  </si>
  <si>
    <t>/rndcheckerr~/re~{l}</t>
  </si>
  <si>
    <t>{getlabel "Does this IRR look correct (y or n):  ",question}</t>
  </si>
  <si>
    <t>{if question="n"}{branch \irrest}</t>
  </si>
  <si>
    <t>{if question="y"}{branch \npv}</t>
  </si>
  <si>
    <t>{branch \irrest}</t>
  </si>
  <si>
    <t>\npv</t>
  </si>
  <si>
    <t>{d}{l 2}</t>
  </si>
  <si>
    <t>NPV @~{r}{if discrate&gt;0}{branch haverate}</t>
  </si>
  <si>
    <t>getnpv</t>
  </si>
  <si>
    <t>{getnumber "Enter the discount rate for the NPV calculation: ",discrate}</t>
  </si>
  <si>
    <t>{if @iserr(discrate)=1}{beep}{branch getnpv}</t>
  </si>
  <si>
    <t>haverate</t>
  </si>
  <si>
    <t>{let here,discrate}</t>
  </si>
  <si>
    <t>/rfp0~~/rndhere~</t>
  </si>
  <si>
    <t>{r}@npv({l},{u 6}{r 2}.{end}{r})~/rfc1~~</t>
  </si>
  <si>
    <t>{l 2}{u}:flo{r 2}{d}~</t>
  </si>
  <si>
    <t>:flss{r 2}{d}~</t>
  </si>
  <si>
    <t>\irrerr</t>
  </si>
  <si>
    <t>{beep}{indicate "That estimate renders an error.  Press a key."}</t>
  </si>
  <si>
    <t>{let irrcount,irrcount+1}</t>
  </si>
  <si>
    <t>{if irrcount&gt;2}{branch \npv}</t>
  </si>
  <si>
    <t>{branch irrget}</t>
  </si>
  <si>
    <t>\recordconsolid</t>
  </si>
  <si>
    <t>/rncplaceholder~~/rndplaceholder~/rncplaceholder~~</t>
  </si>
  <si>
    <t>{goto}c:c20~</t>
  </si>
  <si>
    <t>/wir~</t>
  </si>
  <si>
    <t>{let here,@proper(usetitle)}/rndhere~</t>
  </si>
  <si>
    <t>{r 4}+netcashflow~</t>
  </si>
  <si>
    <t>/c~{r}.{r num_years-2}~</t>
  </si>
  <si>
    <t>/rfc1~.{r num_years-1}~</t>
  </si>
  <si>
    <t>{l}@sum({r}.{r num_years-1})~/rfc1~~</t>
  </si>
  <si>
    <t>/rndnetcashflow~</t>
  </si>
  <si>
    <t>{goto}consirr~</t>
  </si>
  <si>
    <t>{if @iserr(consirr)=0}/rfp1~~</t>
  </si>
  <si>
    <t>{goto}placeholder~</t>
  </si>
  <si>
    <t>\addlist</t>
  </si>
  <si>
    <t>{goto}a:ae5~</t>
  </si>
  <si>
    <t>{for counter,1,numsheets-1,1,\godown}</t>
  </si>
  <si>
    <t>{let here,@string(numsheets-1,0)}</t>
  </si>
  <si>
    <t>{let here,@proper("Table "&amp;@string(numsheets-1,0))}</t>
  </si>
  <si>
    <t>{let here,@proper(component)}</t>
  </si>
  <si>
    <t>/rndhere~{r 4}/rnchere~~/rndhere~/rnchere~~</t>
  </si>
  <si>
    <t>{let here,@coord(numsheets,3,10,7)}/rndhere~</t>
  </si>
  <si>
    <t>\godown</t>
  </si>
  <si>
    <t>{d}</t>
  </si>
  <si>
    <t>\LIST</t>
  </si>
  <si>
    <t>{goto}a:ad1~</t>
  </si>
  <si>
    <t>{goto}ae5~</t>
  </si>
  <si>
    <t>tablego</t>
  </si>
  <si>
    <t>{getlabel "Enter table to go to ('q' to return to main menu, 'p' to page down): ",question}</t>
  </si>
  <si>
    <t>{if @value(question)&gt;numsheets}{beep}{indicate "Try again. Press return"}{?}{indicate}</t>
  </si>
  <si>
    <t>{if @value(question)&gt;numsheets}{branch \list}</t>
  </si>
  <si>
    <t>{if question="q"}{branch \main}</t>
  </si>
  <si>
    <t>{if question="p"}{d 30}{u 15}{branch tablego}</t>
  </si>
  <si>
    <t>{if @iserr(@value(question))=1}{beep}{branch \list}</t>
  </si>
  <si>
    <t>{for counter,1,@value(question),1,\godown}{r 6}</t>
  </si>
  <si>
    <t>{let gotomarker,@cellpointer("contents")}</t>
  </si>
  <si>
    <t>{goto}{gotomarker}~</t>
  </si>
  <si>
    <t>Press Alt-M to return to main menu</t>
  </si>
  <si>
    <t>{get question}{esc}</t>
  </si>
  <si>
    <t>\PRINT</t>
  </si>
  <si>
    <t>{goto}a:ad3~</t>
  </si>
  <si>
    <t>printsel</t>
  </si>
  <si>
    <t>{getlabel "Enter the table to print: ('a' for all, 'q' to quit, 'p' to page down): ",question}</t>
  </si>
  <si>
    <t>{if question="a"}{branch \printall}</t>
  </si>
  <si>
    <t>{if question="p"}{d 30}{u 15}{branch printsel}</t>
  </si>
  <si>
    <t>{if question="1"}:prsb:c10.b:i58~copqg{branch endprint}</t>
  </si>
  <si>
    <t>{let startmarker,@cellpointer("contents")}{r}</t>
  </si>
  <si>
    <t>{let finishmarker,@cellpointer("contents")}</t>
  </si>
  <si>
    <t>:prs{startmarker}.{finishmarker}~colqg</t>
  </si>
  <si>
    <t>endprint</t>
  </si>
  <si>
    <t>\addcorner</t>
  </si>
  <si>
    <t>{r 7}</t>
  </si>
  <si>
    <t>{let here,@cell("coord",corner)}</t>
  </si>
  <si>
    <t>/rndhere~/rndcorner~</t>
  </si>
  <si>
    <t>\printall</t>
  </si>
  <si>
    <t>:prsa:ae1.a:aj50~copqg</t>
  </si>
  <si>
    <t>:prsb:c10.b:i58~copqg</t>
  </si>
  <si>
    <t>{d 2}{r 6}</t>
  </si>
  <si>
    <t>{for counter,1,numsheets-1,1,\printeach}</t>
  </si>
  <si>
    <t>\printeach</t>
  </si>
  <si>
    <t>{d}{l}</t>
  </si>
  <si>
    <t>\save</t>
  </si>
  <si>
    <t>/fs{esc}</t>
  </si>
  <si>
    <t>self</t>
  </si>
  <si>
    <t>{if @info("mode")=1}{branch quitagain}</t>
  </si>
  <si>
    <t>{if @info("mode")&lt;&gt;1}{?}~{branch self}</t>
  </si>
  <si>
    <t>quitagain</t>
  </si>
  <si>
    <t>{getlabel "Do you want to quit? (y or n): ",question}</t>
  </si>
  <si>
    <t>{if question="n"}{branch \main}</t>
  </si>
  <si>
    <t>{if question&lt;&gt;"y"}{beep}{branch quitagain}</t>
  </si>
  <si>
    <t>/qyy</t>
  </si>
  <si>
    <t>\roundput</t>
  </si>
  <si>
    <t>Pro-Gen will now prompt you for total rounds.  It will then calculate daily fee  rounds as the difference between total rounds and member rounds (press return).{?}{esc}</t>
  </si>
  <si>
    <t>roundputt</t>
  </si>
  <si>
    <t>{getlabel "Enter total rounds ('c' to copy out last entry, 'b' to backup): ",datainp}</t>
  </si>
  <si>
    <t>{if datainp="c"}{\copyround}{return}</t>
  </si>
  <si>
    <t>{if datainp="b"}{l}{let counter,counter-1}{branch roundputt}</t>
  </si>
  <si>
    <t>{if @iserr(@value(datainp))=1}{\inperr}{branch roundputt}</t>
  </si>
  <si>
    <t>{let here,@value(datainp)}/rf,0~~{u 3}/rncthere~~/rndthere~/rncthere~~{d 3}</t>
  </si>
  <si>
    <t>{if here&lt;there}{beep}{indicate "Total rounds are less than member rounds. Press return."}{?}{indicate}{branch roundputt}</t>
  </si>
  <si>
    <t>{u 2}+{d 2}-{u}~/rf,0~~{d 2}{r}</t>
  </si>
  <si>
    <t>/rndhere~/rndthere~</t>
  </si>
  <si>
    <t>{let counter,counter+1}{branch roundputt}</t>
  </si>
  <si>
    <t>\copyround</t>
  </si>
  <si>
    <t>/c{esc}{l}{u 2}.{d 2}~.{u 2}{r num_years-counter}~</t>
  </si>
  <si>
    <t>\reminder</t>
  </si>
  <si>
    <t>{indicate "This cost is probably not more than 0.1 or 10%.  Press return."}</t>
  </si>
  <si>
    <t>\percput</t>
  </si>
  <si>
    <t>This routine distributes the costs such as infrastructure or development costs   over a number of years.  The percentages must add up to 100% (press return){?}{esc}</t>
  </si>
  <si>
    <t>percputt</t>
  </si>
  <si>
    <t>{getlabel "Enter data ('c' to copy out, 'b' to backup): ",datainp}</t>
  </si>
  <si>
    <t>{if datainp="b"}{l}{let counter,counter-1}{branch percputt}</t>
  </si>
  <si>
    <t>{if @iserr(@value(datainp))=1}{\inperr}{branch percputt}</t>
  </si>
  <si>
    <t>{let counter,counter+1}{branch percputt}</t>
  </si>
  <si>
    <t>\zeroout</t>
  </si>
  <si>
    <t>{u 9}/rncthere~~/rndthere~/rncthere~~{goto}here~</t>
  </si>
  <si>
    <t>{if there=0}{let here,0}/rndhere~/rndthere~</t>
  </si>
  <si>
    <t>{if here&lt;0}{beep}{indicate "Percents add to more than 100%. Press return"}{?}{indicate}/rndhere~/rndthere~{goto}startover~{let overexp,1}{forbreak}</t>
  </si>
  <si>
    <t>Land and Infrastructure Costs</t>
  </si>
  <si>
    <t>l&amp;idollars</t>
  </si>
  <si>
    <t>Land Costs</t>
  </si>
  <si>
    <t>Total Land Cost</t>
  </si>
  <si>
    <t>landlabel</t>
  </si>
  <si>
    <t>costper</t>
  </si>
  <si>
    <t>Land Cost per Acre</t>
  </si>
  <si>
    <t>Infrastructure and Common Area Costs</t>
  </si>
  <si>
    <t>Roads</t>
  </si>
  <si>
    <t>Utilities / Landscaping</t>
  </si>
  <si>
    <t>________</t>
  </si>
  <si>
    <t>Subtotal Hard Infrastructure Costs</t>
  </si>
  <si>
    <t>Soft Costs @</t>
  </si>
  <si>
    <t>Contingency @</t>
  </si>
  <si>
    <t>Total Infrastructure and Common Area Costs</t>
  </si>
  <si>
    <t>Clustered Townhouses And Apartments</t>
  </si>
  <si>
    <t>Timeshare Villages</t>
  </si>
  <si>
    <t>NA</t>
  </si>
  <si>
    <t>Source:  Economics Research Associates</t>
  </si>
  <si>
    <t>Inflation:</t>
  </si>
  <si>
    <t xml:space="preserve">    Total    </t>
  </si>
  <si>
    <t xml:space="preserve">   Year 1   </t>
  </si>
  <si>
    <t xml:space="preserve">   Year 2   </t>
  </si>
  <si>
    <t xml:space="preserve">   Year 3   </t>
  </si>
  <si>
    <t xml:space="preserve">   Year 4   </t>
  </si>
  <si>
    <t xml:space="preserve">   Year 5   </t>
  </si>
  <si>
    <t xml:space="preserve">   Year 6   </t>
  </si>
  <si>
    <t xml:space="preserve">   Year 7   </t>
  </si>
  <si>
    <t xml:space="preserve">   Year 8   </t>
  </si>
  <si>
    <t xml:space="preserve">   Year 9   </t>
  </si>
  <si>
    <t xml:space="preserve">   Year 10  </t>
  </si>
  <si>
    <t>Resort Hotel</t>
  </si>
  <si>
    <t>Golf &amp; Country Club</t>
  </si>
  <si>
    <t>Golf Villas</t>
  </si>
  <si>
    <t>Residential Homesites</t>
  </si>
  <si>
    <t>_________</t>
  </si>
  <si>
    <t>Land Cost</t>
  </si>
  <si>
    <t>Infrastructure Costs</t>
  </si>
  <si>
    <t>NET CASH FLOW</t>
  </si>
  <si>
    <t>CUMULATIVE CASH FLOW</t>
  </si>
  <si>
    <t>Internal Rate of Return</t>
  </si>
  <si>
    <t>NPV @</t>
  </si>
  <si>
    <t>Revenue Assumptions</t>
  </si>
  <si>
    <t>Projected Absorption</t>
  </si>
  <si>
    <t>Ave. Price per Unit (000's of constant $)</t>
  </si>
  <si>
    <t>Gross Sales</t>
  </si>
  <si>
    <t>Less:  Commissions</t>
  </si>
  <si>
    <t>Less:  Closing</t>
  </si>
  <si>
    <t>Less:  Marketing</t>
  </si>
  <si>
    <t>Net Proceeds from Sales</t>
  </si>
  <si>
    <t>Development Costs</t>
  </si>
  <si>
    <t>per site</t>
  </si>
  <si>
    <t>In-Tract Improvements</t>
  </si>
  <si>
    <t xml:space="preserve">Soft Costs @ </t>
  </si>
  <si>
    <t>Total Development Costs</t>
  </si>
  <si>
    <t>Price per Unit (000's of constant $)</t>
  </si>
  <si>
    <t>Less:  Commissions @</t>
  </si>
  <si>
    <t>Less:  Closing @</t>
  </si>
  <si>
    <t>Less Marketing @</t>
  </si>
  <si>
    <t>per unit</t>
  </si>
  <si>
    <t>Construction Costs</t>
  </si>
  <si>
    <t>Less:  Marketing @</t>
  </si>
  <si>
    <t>Units Built</t>
  </si>
  <si>
    <t>Projected Absorption of Shares</t>
  </si>
  <si>
    <t>F, F &amp; E</t>
  </si>
  <si>
    <t>Membership Sales</t>
  </si>
  <si>
    <t>Country Club Memberships</t>
  </si>
  <si>
    <t>Cumulative Memberships</t>
  </si>
  <si>
    <t>Membership Sales Proceeds</t>
  </si>
  <si>
    <t>Monthly Dues (constant values, not thousands)</t>
  </si>
  <si>
    <t>Projected Golf Rounds</t>
  </si>
  <si>
    <t>Membership Rounds @</t>
  </si>
  <si>
    <t>Guest Rounds @</t>
  </si>
  <si>
    <t xml:space="preserve">Hotel Guests @ </t>
  </si>
  <si>
    <t>room nights</t>
  </si>
  <si>
    <t>unit nights</t>
  </si>
  <si>
    <t>Daily Fee @</t>
  </si>
  <si>
    <t>Total Projected Rounds</t>
  </si>
  <si>
    <t>Member Guest Fees @</t>
  </si>
  <si>
    <t>Hotel Guest Fees @</t>
  </si>
  <si>
    <t>Timeshare @</t>
  </si>
  <si>
    <t>OPERATING REVENUES</t>
  </si>
  <si>
    <t>Annual Dues</t>
  </si>
  <si>
    <t>Greens Fees</t>
  </si>
  <si>
    <t>Food &amp; Beverage</t>
  </si>
  <si>
    <t>Gross Operating Revenues</t>
  </si>
  <si>
    <t>Less: Cost of Goods Sold</t>
  </si>
  <si>
    <t>Merchandise Sales @</t>
  </si>
  <si>
    <t>Club Rentals / Misc. @</t>
  </si>
  <si>
    <t>Net Operating Revenues</t>
  </si>
  <si>
    <t>OPERATING EXPENSES</t>
  </si>
  <si>
    <t>Course Maintenance</t>
  </si>
  <si>
    <t>Golf Ops. (pro shop, carts, range)</t>
  </si>
  <si>
    <t>Undistributed Clubhouse</t>
  </si>
  <si>
    <t>General and Administrative</t>
  </si>
  <si>
    <t>Replacement Reserve @</t>
  </si>
  <si>
    <t>Total Operating Expenses</t>
  </si>
  <si>
    <t>NET OPERATING INCOME</t>
  </si>
  <si>
    <t>SOURCES OF FUNDS</t>
  </si>
  <si>
    <t>Net Operating Income</t>
  </si>
  <si>
    <t>Total Sources of Funds</t>
  </si>
  <si>
    <t>USES OF FUNDS</t>
  </si>
  <si>
    <t>Golf Course Construction</t>
  </si>
  <si>
    <t>Clubhouse &amp; Amenities</t>
  </si>
  <si>
    <t>Total Uses of Funds</t>
  </si>
  <si>
    <t>Operating Assumptions</t>
  </si>
  <si>
    <t>Number of Rooms</t>
  </si>
  <si>
    <t>Average Annual Occupancy Rate</t>
  </si>
  <si>
    <t>Projected Room Nights</t>
  </si>
  <si>
    <t>Gross Room Revenues</t>
  </si>
  <si>
    <t>Departmental Expenses</t>
  </si>
  <si>
    <t>Rooms</t>
  </si>
  <si>
    <t>Telephone</t>
  </si>
  <si>
    <t>Other</t>
  </si>
  <si>
    <t>Total Departmental Expenses</t>
  </si>
  <si>
    <t>Undistributed Operating Expenses</t>
  </si>
  <si>
    <t>General &amp; Admin.</t>
  </si>
  <si>
    <t>Marketing</t>
  </si>
  <si>
    <t>Property Ops. &amp; Maint.</t>
  </si>
  <si>
    <t>Utilities</t>
  </si>
  <si>
    <t>Total Undistributed Op. Expenses</t>
  </si>
  <si>
    <t>Fixed Charges</t>
  </si>
  <si>
    <t>Insurance</t>
  </si>
  <si>
    <t>Property Taxes</t>
  </si>
  <si>
    <t>Total Fixed Charges</t>
  </si>
  <si>
    <t>Construction</t>
  </si>
  <si>
    <t>LEASE REVENUE</t>
  </si>
  <si>
    <t>Ops. &amp; Maint. @</t>
  </si>
  <si>
    <t>Gen. &amp; Admin. @</t>
  </si>
  <si>
    <t>TOTAL SOURCES OF FUNDS</t>
  </si>
  <si>
    <t>Net Cash Flows</t>
  </si>
  <si>
    <t>Timeshare Condos</t>
  </si>
  <si>
    <t>Thousands of Inflated Dollars</t>
  </si>
  <si>
    <t>Inflation Factor</t>
  </si>
  <si>
    <t>Cash Flow Before Projectwide Costs</t>
  </si>
  <si>
    <t>Sales Proceeds (inflated)</t>
  </si>
  <si>
    <t>Cumulative Units @ 50 shares / unit</t>
  </si>
  <si>
    <t>Membership Sales Proceeds (infl.)</t>
  </si>
  <si>
    <t>Greens Fee Revenues (Inflated)</t>
  </si>
  <si>
    <t xml:space="preserve">REVENUE ASSUMPTIONS </t>
  </si>
  <si>
    <t>Initiation Fee (constant $, not thousands)</t>
  </si>
  <si>
    <t>Food &amp; Beverage @</t>
  </si>
  <si>
    <t>Merchandise @</t>
  </si>
  <si>
    <t>Driving Range @</t>
  </si>
  <si>
    <t>Club Rental / Misc. @</t>
  </si>
  <si>
    <t>Member Cart Fees @</t>
  </si>
  <si>
    <r>
      <t xml:space="preserve">Asset Value @ </t>
    </r>
    <r>
      <rPr>
        <vertAlign val="superscript"/>
        <sz val="12"/>
        <rFont val="Arial"/>
        <family val="2"/>
      </rPr>
      <t>1</t>
    </r>
  </si>
  <si>
    <r>
      <t>1</t>
    </r>
    <r>
      <rPr>
        <sz val="12"/>
        <rFont val="Arial"/>
        <family val="2"/>
      </rPr>
      <t>_x001F_ Assumes asset sale in Year 10.</t>
    </r>
  </si>
  <si>
    <t>(2008 $)</t>
  </si>
  <si>
    <t>Average Daily Room Rate (constant $, not thousands)</t>
  </si>
  <si>
    <t xml:space="preserve">Other Depts. </t>
  </si>
  <si>
    <t>Gross Leasable Area (s.f.)</t>
  </si>
  <si>
    <t>Average Rent per s.f. (constant values)</t>
  </si>
  <si>
    <t xml:space="preserve">Transferred Memberships @ </t>
  </si>
  <si>
    <t xml:space="preserve">Transfer Fees @ </t>
  </si>
  <si>
    <t>Timeshare 80% occ. @</t>
  </si>
  <si>
    <t>Equipment Lease</t>
  </si>
  <si>
    <t>Maint./Grow-in</t>
  </si>
  <si>
    <t>Pro Forma Greens Fees</t>
  </si>
  <si>
    <t>Less:  Misc. Discounts @</t>
  </si>
  <si>
    <t>Net Greens Fees</t>
  </si>
  <si>
    <t>Banquets</t>
  </si>
  <si>
    <t>F &amp; B &amp; Banquet Sales @</t>
  </si>
  <si>
    <t>F&amp;B &amp; Banquet (50% of sales)</t>
  </si>
  <si>
    <t xml:space="preserve">Phone </t>
  </si>
  <si>
    <t xml:space="preserve">F &amp; B </t>
  </si>
  <si>
    <t>% of Gross Revs.</t>
  </si>
  <si>
    <t>Franchise Fee incl. Mktg.</t>
  </si>
  <si>
    <t>Management Fees</t>
  </si>
  <si>
    <t>Source:  Economics Research Associates.  Operating factors from PKF Trends in the Hotel Industry, 2007 for 'All Resort Hotels'</t>
  </si>
  <si>
    <t>Project Management and Overhead</t>
  </si>
  <si>
    <t>Figure 3-2</t>
  </si>
  <si>
    <t>figure 3-3</t>
  </si>
  <si>
    <t>Figure 3-4</t>
  </si>
  <si>
    <t>Figure 3-5</t>
  </si>
  <si>
    <t>Figure 3-6</t>
  </si>
  <si>
    <t>Homesites</t>
  </si>
  <si>
    <t>Figure 3-8</t>
  </si>
  <si>
    <t>Detached Golf Villas</t>
  </si>
  <si>
    <t>Figure 3-7</t>
  </si>
  <si>
    <t>Figure 3-9</t>
  </si>
  <si>
    <t>Figure 3-10</t>
  </si>
  <si>
    <t>Figure 3-11</t>
  </si>
  <si>
    <t>Figure 3-12</t>
  </si>
  <si>
    <t>Figure 3-13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</si>
</sst>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&quot;$&quot;#,##0.0_);\(&quot;$&quot;#,##0.0\)"/>
    <numFmt numFmtId="166" formatCode=";;;"/>
    <numFmt numFmtId="167" formatCode="0.00_)"/>
    <numFmt numFmtId="168" formatCode="mm/dd_)"/>
    <numFmt numFmtId="169" formatCode="0.0%"/>
    <numFmt numFmtId="170" formatCode="mm/dd/yy_)"/>
    <numFmt numFmtId="171" formatCode="0.0_)"/>
    <numFmt numFmtId="172" formatCode="&quot;$&quot;#,##0"/>
  </numFmts>
  <fonts count="13">
    <font>
      <sz val="12"/>
      <name val="Tms Rmn"/>
      <family val="0"/>
    </font>
    <font>
      <sz val="10"/>
      <name val="Arial"/>
      <family val="0"/>
    </font>
    <font>
      <u val="single"/>
      <sz val="12"/>
      <name val="Tms Rmn"/>
      <family val="0"/>
    </font>
    <font>
      <b/>
      <sz val="12"/>
      <name val="Tms Rmn"/>
      <family val="0"/>
    </font>
    <font>
      <b/>
      <i/>
      <u val="double"/>
      <sz val="24"/>
      <name val="Helv"/>
      <family val="0"/>
    </font>
    <font>
      <b/>
      <u val="single"/>
      <sz val="12"/>
      <name val="Tms Rmn"/>
      <family val="0"/>
    </font>
    <font>
      <b/>
      <u val="double"/>
      <sz val="12"/>
      <name val="Tms Rmn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u val="single"/>
      <sz val="12"/>
      <name val="Arial"/>
      <family val="2"/>
    </font>
    <font>
      <vertAlign val="superscript"/>
      <sz val="12"/>
      <name val="Arial"/>
      <family val="2"/>
    </font>
    <font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17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166" fontId="0" fillId="0" borderId="0" xfId="0" applyNumberFormat="1" applyAlignment="1" applyProtection="1">
      <alignment/>
      <protection/>
    </xf>
    <xf numFmtId="167" fontId="0" fillId="0" borderId="0" xfId="0" applyNumberFormat="1" applyAlignment="1" applyProtection="1">
      <alignment/>
      <protection/>
    </xf>
    <xf numFmtId="168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5" fillId="0" borderId="1" xfId="0" applyFont="1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3" fillId="2" borderId="1" xfId="0" applyFont="1" applyFill="1" applyBorder="1" applyAlignment="1">
      <alignment horizontal="centerContinuous"/>
    </xf>
    <xf numFmtId="0" fontId="3" fillId="2" borderId="2" xfId="0" applyFont="1" applyFill="1" applyBorder="1" applyAlignment="1">
      <alignment horizontal="centerContinuous"/>
    </xf>
    <xf numFmtId="0" fontId="0" fillId="2" borderId="2" xfId="0" applyFill="1" applyBorder="1" applyAlignment="1">
      <alignment horizontal="centerContinuous"/>
    </xf>
    <xf numFmtId="0" fontId="0" fillId="2" borderId="3" xfId="0" applyFill="1" applyBorder="1" applyAlignment="1">
      <alignment horizontal="centerContinuous"/>
    </xf>
    <xf numFmtId="0" fontId="6" fillId="0" borderId="0" xfId="0" applyFont="1" applyAlignment="1">
      <alignment horizontal="centerContinuous"/>
    </xf>
    <xf numFmtId="0" fontId="3" fillId="0" borderId="4" xfId="0" applyFont="1" applyBorder="1" applyAlignment="1">
      <alignment/>
    </xf>
    <xf numFmtId="0" fontId="0" fillId="0" borderId="5" xfId="0" applyBorder="1" applyAlignment="1">
      <alignment/>
    </xf>
    <xf numFmtId="0" fontId="3" fillId="2" borderId="6" xfId="0" applyFont="1" applyFill="1" applyBorder="1" applyAlignment="1">
      <alignment horizontal="centerContinuous"/>
    </xf>
    <xf numFmtId="0" fontId="3" fillId="2" borderId="7" xfId="0" applyFont="1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0" fillId="0" borderId="5" xfId="0" applyBorder="1" applyAlignment="1">
      <alignment horizontal="centerContinuous"/>
    </xf>
    <xf numFmtId="0" fontId="0" fillId="0" borderId="4" xfId="0" applyBorder="1" applyAlignment="1">
      <alignment/>
    </xf>
    <xf numFmtId="0" fontId="3" fillId="0" borderId="0" xfId="0" applyFont="1" applyAlignment="1">
      <alignment horizontal="right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 applyProtection="1">
      <alignment/>
      <protection/>
    </xf>
    <xf numFmtId="0" fontId="8" fillId="0" borderId="9" xfId="0" applyFont="1" applyBorder="1" applyAlignment="1">
      <alignment/>
    </xf>
    <xf numFmtId="9" fontId="8" fillId="0" borderId="10" xfId="0" applyNumberFormat="1" applyFont="1" applyBorder="1" applyAlignment="1" applyProtection="1">
      <alignment/>
      <protection/>
    </xf>
    <xf numFmtId="166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165" fontId="8" fillId="0" borderId="0" xfId="0" applyNumberFormat="1" applyFont="1" applyAlignment="1" applyProtection="1">
      <alignment/>
      <protection/>
    </xf>
    <xf numFmtId="0" fontId="8" fillId="0" borderId="0" xfId="0" applyFont="1" applyAlignment="1">
      <alignment horizontal="right"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169" fontId="8" fillId="0" borderId="13" xfId="0" applyNumberFormat="1" applyFont="1" applyBorder="1" applyAlignment="1" applyProtection="1">
      <alignment/>
      <protection/>
    </xf>
    <xf numFmtId="0" fontId="8" fillId="0" borderId="14" xfId="0" applyFont="1" applyBorder="1" applyAlignment="1">
      <alignment/>
    </xf>
    <xf numFmtId="9" fontId="8" fillId="0" borderId="15" xfId="0" applyNumberFormat="1" applyFont="1" applyBorder="1" applyAlignment="1" applyProtection="1">
      <alignment/>
      <protection/>
    </xf>
    <xf numFmtId="165" fontId="8" fillId="0" borderId="16" xfId="0" applyNumberFormat="1" applyFont="1" applyBorder="1" applyAlignment="1" applyProtection="1">
      <alignment/>
      <protection/>
    </xf>
    <xf numFmtId="2" fontId="8" fillId="0" borderId="0" xfId="0" applyNumberFormat="1" applyFont="1" applyAlignment="1">
      <alignment horizontal="right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right"/>
    </xf>
    <xf numFmtId="165" fontId="8" fillId="0" borderId="0" xfId="0" applyNumberFormat="1" applyFont="1" applyBorder="1" applyAlignment="1" applyProtection="1">
      <alignment/>
      <protection/>
    </xf>
    <xf numFmtId="9" fontId="8" fillId="0" borderId="0" xfId="0" applyNumberFormat="1" applyFont="1" applyAlignment="1" applyProtection="1">
      <alignment/>
      <protection/>
    </xf>
    <xf numFmtId="166" fontId="9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37" fontId="8" fillId="0" borderId="0" xfId="0" applyNumberFormat="1" applyFont="1" applyAlignment="1" applyProtection="1">
      <alignment/>
      <protection/>
    </xf>
    <xf numFmtId="165" fontId="8" fillId="0" borderId="0" xfId="0" applyNumberFormat="1" applyFont="1" applyAlignment="1" applyProtection="1">
      <alignment horizontal="right"/>
      <protection/>
    </xf>
    <xf numFmtId="169" fontId="8" fillId="0" borderId="0" xfId="0" applyNumberFormat="1" applyFont="1" applyAlignment="1" applyProtection="1">
      <alignment/>
      <protection/>
    </xf>
    <xf numFmtId="169" fontId="9" fillId="0" borderId="0" xfId="0" applyNumberFormat="1" applyFont="1" applyAlignment="1" applyProtection="1">
      <alignment/>
      <protection/>
    </xf>
    <xf numFmtId="37" fontId="8" fillId="0" borderId="0" xfId="0" applyNumberFormat="1" applyFont="1" applyAlignment="1" applyProtection="1">
      <alignment horizontal="right"/>
      <protection/>
    </xf>
    <xf numFmtId="5" fontId="8" fillId="0" borderId="0" xfId="0" applyNumberFormat="1" applyFont="1" applyAlignment="1" applyProtection="1">
      <alignment/>
      <protection/>
    </xf>
    <xf numFmtId="7" fontId="8" fillId="0" borderId="0" xfId="0" applyNumberFormat="1" applyFont="1" applyAlignment="1" applyProtection="1">
      <alignment/>
      <protection/>
    </xf>
    <xf numFmtId="172" fontId="8" fillId="0" borderId="0" xfId="0" applyNumberFormat="1" applyFont="1" applyAlignment="1">
      <alignment/>
    </xf>
    <xf numFmtId="0" fontId="11" fillId="0" borderId="0" xfId="0" applyFont="1" applyAlignment="1" applyProtection="1" quotePrefix="1">
      <alignment/>
      <protection/>
    </xf>
    <xf numFmtId="5" fontId="9" fillId="0" borderId="0" xfId="0" applyNumberFormat="1" applyFont="1" applyAlignment="1" applyProtection="1">
      <alignment/>
      <protection/>
    </xf>
    <xf numFmtId="0" fontId="12" fillId="0" borderId="0" xfId="0" applyFont="1" applyAlignment="1">
      <alignment horizontal="right"/>
    </xf>
    <xf numFmtId="0" fontId="12" fillId="0" borderId="0" xfId="0" applyFont="1" applyAlignment="1" quotePrefix="1">
      <alignment horizontal="right"/>
    </xf>
    <xf numFmtId="9" fontId="8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9" fontId="8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T364"/>
  <sheetViews>
    <sheetView showGridLines="0" tabSelected="1" workbookViewId="0" topLeftCell="A1">
      <selection activeCell="A10" sqref="A10"/>
    </sheetView>
  </sheetViews>
  <sheetFormatPr defaultColWidth="9.796875" defaultRowHeight="15"/>
  <cols>
    <col min="3" max="3" width="60.69921875" style="0" customWidth="1"/>
    <col min="5" max="5" width="60.69921875" style="0" customWidth="1"/>
    <col min="7" max="7" width="60.69921875" style="0" customWidth="1"/>
    <col min="8" max="8" width="10.69921875" style="0" customWidth="1"/>
    <col min="9" max="9" width="60.69921875" style="0" customWidth="1"/>
    <col min="10" max="10" width="30.69921875" style="0" customWidth="1"/>
    <col min="13" max="13" width="35.69921875" style="0" customWidth="1"/>
    <col min="16" max="16" width="3.69921875" style="0" customWidth="1"/>
    <col min="22" max="22" width="12.69921875" style="0" customWidth="1"/>
    <col min="24" max="24" width="4.69921875" style="0" customWidth="1"/>
    <col min="30" max="30" width="13.69921875" style="0" customWidth="1"/>
    <col min="31" max="31" width="3.69921875" style="0" customWidth="1"/>
    <col min="36" max="36" width="33.69921875" style="0" customWidth="1"/>
  </cols>
  <sheetData>
    <row r="1" spans="2:41" ht="15.75">
      <c r="B1" s="7" t="s">
        <v>0</v>
      </c>
      <c r="C1" s="7" t="s">
        <v>1</v>
      </c>
      <c r="D1" t="s">
        <v>2</v>
      </c>
      <c r="E1" t="s">
        <v>3</v>
      </c>
      <c r="L1" s="7" t="s">
        <v>4</v>
      </c>
      <c r="M1" s="8" t="s">
        <v>5</v>
      </c>
      <c r="P1" s="9"/>
      <c r="AN1" t="s">
        <v>6</v>
      </c>
      <c r="AO1" t="s">
        <v>7</v>
      </c>
    </row>
    <row r="2" spans="2:41" ht="30.75">
      <c r="B2" t="s">
        <v>8</v>
      </c>
      <c r="C2" t="s">
        <v>9</v>
      </c>
      <c r="P2" s="10" t="s">
        <v>10</v>
      </c>
      <c r="Q2" s="11"/>
      <c r="R2" s="11"/>
      <c r="S2" s="11"/>
      <c r="T2" s="11"/>
      <c r="W2" s="10" t="s">
        <v>10</v>
      </c>
      <c r="X2" s="11"/>
      <c r="Y2" s="11"/>
      <c r="Z2" s="11"/>
      <c r="AA2" s="11"/>
      <c r="AB2" s="11"/>
      <c r="AE2" s="10" t="s">
        <v>10</v>
      </c>
      <c r="AF2" s="11"/>
      <c r="AG2" s="11"/>
      <c r="AH2" s="11"/>
      <c r="AO2" t="s">
        <v>11</v>
      </c>
    </row>
    <row r="3" spans="3:23" ht="16.5" thickBot="1">
      <c r="C3" t="s">
        <v>12</v>
      </c>
      <c r="D3" t="s">
        <v>13</v>
      </c>
      <c r="E3" t="s">
        <v>14</v>
      </c>
      <c r="L3" t="s">
        <v>15</v>
      </c>
      <c r="M3" t="s">
        <v>16</v>
      </c>
      <c r="P3" s="9"/>
      <c r="W3" s="9"/>
    </row>
    <row r="4" spans="3:41" ht="16.5" thickTop="1">
      <c r="C4" t="s">
        <v>17</v>
      </c>
      <c r="E4" t="s">
        <v>18</v>
      </c>
      <c r="L4" t="s">
        <v>19</v>
      </c>
      <c r="M4" t="s">
        <v>20</v>
      </c>
      <c r="P4" s="12" t="s">
        <v>21</v>
      </c>
      <c r="Q4" s="13"/>
      <c r="R4" s="13"/>
      <c r="S4" s="13"/>
      <c r="T4" s="14"/>
      <c r="W4" s="15" t="s">
        <v>22</v>
      </c>
      <c r="X4" s="16"/>
      <c r="Y4" s="16"/>
      <c r="Z4" s="17"/>
      <c r="AA4" s="17"/>
      <c r="AB4" s="18"/>
      <c r="AE4" s="19" t="s">
        <v>23</v>
      </c>
      <c r="AF4" s="11"/>
      <c r="AG4" s="11"/>
      <c r="AH4" s="11"/>
      <c r="AN4" t="s">
        <v>24</v>
      </c>
      <c r="AO4">
        <v>0</v>
      </c>
    </row>
    <row r="5" spans="5:41" ht="16.5" thickBot="1">
      <c r="E5" t="s">
        <v>25</v>
      </c>
      <c r="L5" t="s">
        <v>26</v>
      </c>
      <c r="M5" t="s">
        <v>27</v>
      </c>
      <c r="P5" s="20"/>
      <c r="T5" s="21"/>
      <c r="W5" s="22" t="s">
        <v>28</v>
      </c>
      <c r="X5" s="23"/>
      <c r="Y5" s="23"/>
      <c r="Z5" s="24"/>
      <c r="AA5" s="24"/>
      <c r="AB5" s="25"/>
      <c r="AK5" s="1"/>
      <c r="AL5" s="1"/>
      <c r="AO5" t="s">
        <v>11</v>
      </c>
    </row>
    <row r="6" spans="2:38" ht="16.5" thickTop="1">
      <c r="B6" t="s">
        <v>29</v>
      </c>
      <c r="C6" t="s">
        <v>30</v>
      </c>
      <c r="E6" t="s">
        <v>31</v>
      </c>
      <c r="L6" t="s">
        <v>32</v>
      </c>
      <c r="M6">
        <v>1996</v>
      </c>
      <c r="P6" s="20" t="s">
        <v>33</v>
      </c>
      <c r="Q6" t="s">
        <v>34</v>
      </c>
      <c r="T6" s="21"/>
      <c r="W6" s="26" t="s">
        <v>35</v>
      </c>
      <c r="X6" s="11"/>
      <c r="Y6" s="11"/>
      <c r="Z6" s="11"/>
      <c r="AA6" s="11"/>
      <c r="AB6" s="27"/>
      <c r="AE6" t="s">
        <v>36</v>
      </c>
      <c r="AF6" t="s">
        <v>37</v>
      </c>
      <c r="AG6" t="str">
        <f>B!C13</f>
        <v>Land and Infrastructure Costs</v>
      </c>
      <c r="AK6" s="1" t="s">
        <v>38</v>
      </c>
      <c r="AL6" s="1" t="s">
        <v>39</v>
      </c>
    </row>
    <row r="7" spans="5:41" ht="15.75">
      <c r="E7" t="s">
        <v>40</v>
      </c>
      <c r="L7" t="s">
        <v>41</v>
      </c>
      <c r="M7">
        <v>10</v>
      </c>
      <c r="P7" s="20" t="s">
        <v>42</v>
      </c>
      <c r="Q7" t="s">
        <v>43</v>
      </c>
      <c r="T7" s="21"/>
      <c r="W7" s="20"/>
      <c r="Y7" s="9"/>
      <c r="AB7" s="21"/>
      <c r="AE7" t="s">
        <v>44</v>
      </c>
      <c r="AF7" t="s">
        <v>45</v>
      </c>
      <c r="AG7" t="s">
        <v>46</v>
      </c>
      <c r="AK7" s="1" t="s">
        <v>47</v>
      </c>
      <c r="AL7" s="1" t="str">
        <f ca="1">CELL("coord",CONSCORNER)</f>
        <v>$A:$P$44</v>
      </c>
      <c r="AN7" t="s">
        <v>48</v>
      </c>
      <c r="AO7" t="s">
        <v>49</v>
      </c>
    </row>
    <row r="8" spans="2:41" ht="15.75">
      <c r="B8" t="s">
        <v>50</v>
      </c>
      <c r="C8" t="s">
        <v>51</v>
      </c>
      <c r="E8" t="s">
        <v>52</v>
      </c>
      <c r="L8" t="s">
        <v>53</v>
      </c>
      <c r="M8" t="s">
        <v>54</v>
      </c>
      <c r="P8" s="20" t="s">
        <v>55</v>
      </c>
      <c r="Q8" t="s">
        <v>56</v>
      </c>
      <c r="T8" s="21"/>
      <c r="W8" s="28"/>
      <c r="X8" s="29" t="s">
        <v>57</v>
      </c>
      <c r="Y8" t="s">
        <v>58</v>
      </c>
      <c r="AB8" s="21"/>
      <c r="AE8" t="s">
        <v>59</v>
      </c>
      <c r="AF8" t="s">
        <v>60</v>
      </c>
      <c r="AG8" t="s">
        <v>61</v>
      </c>
      <c r="AK8" s="1" t="s">
        <v>7</v>
      </c>
      <c r="AL8" s="1" t="s">
        <v>62</v>
      </c>
      <c r="AO8" t="s">
        <v>11</v>
      </c>
    </row>
    <row r="9" spans="3:38" ht="15.75">
      <c r="C9" t="s">
        <v>63</v>
      </c>
      <c r="E9" t="s">
        <v>64</v>
      </c>
      <c r="L9" t="s">
        <v>65</v>
      </c>
      <c r="M9">
        <v>0</v>
      </c>
      <c r="P9" s="20" t="s">
        <v>66</v>
      </c>
      <c r="Q9" t="s">
        <v>67</v>
      </c>
      <c r="T9" s="21"/>
      <c r="W9" s="28"/>
      <c r="X9" s="29" t="s">
        <v>68</v>
      </c>
      <c r="Y9" t="s">
        <v>69</v>
      </c>
      <c r="AB9" s="21"/>
      <c r="AE9" t="s">
        <v>54</v>
      </c>
      <c r="AF9" t="s">
        <v>70</v>
      </c>
      <c r="AG9" t="s">
        <v>71</v>
      </c>
      <c r="AK9" t="s">
        <v>72</v>
      </c>
      <c r="AL9" t="s">
        <v>73</v>
      </c>
    </row>
    <row r="10" spans="3:38" ht="15.75">
      <c r="C10" t="s">
        <v>74</v>
      </c>
      <c r="E10" t="s">
        <v>75</v>
      </c>
      <c r="L10" t="s">
        <v>76</v>
      </c>
      <c r="M10">
        <v>13</v>
      </c>
      <c r="P10" s="20" t="s">
        <v>77</v>
      </c>
      <c r="Q10" t="s">
        <v>78</v>
      </c>
      <c r="T10" s="21"/>
      <c r="W10" s="28"/>
      <c r="X10" s="29" t="s">
        <v>79</v>
      </c>
      <c r="Y10" t="s">
        <v>80</v>
      </c>
      <c r="AB10" s="21"/>
      <c r="AE10" t="s">
        <v>81</v>
      </c>
      <c r="AF10" t="s">
        <v>82</v>
      </c>
      <c r="AG10" t="s">
        <v>83</v>
      </c>
      <c r="AK10" t="s">
        <v>84</v>
      </c>
      <c r="AL10" s="1" t="s">
        <v>85</v>
      </c>
    </row>
    <row r="11" spans="3:38" ht="15.75">
      <c r="C11" t="s">
        <v>86</v>
      </c>
      <c r="E11" t="s">
        <v>87</v>
      </c>
      <c r="L11" t="s">
        <v>88</v>
      </c>
      <c r="M11">
        <v>10</v>
      </c>
      <c r="P11" s="20" t="s">
        <v>89</v>
      </c>
      <c r="Q11" t="s">
        <v>90</v>
      </c>
      <c r="T11" s="21"/>
      <c r="W11" s="28"/>
      <c r="X11" s="29" t="s">
        <v>91</v>
      </c>
      <c r="Y11" t="s">
        <v>92</v>
      </c>
      <c r="AB11" s="21"/>
      <c r="AE11" t="s">
        <v>20</v>
      </c>
      <c r="AF11" t="s">
        <v>93</v>
      </c>
      <c r="AG11" t="s">
        <v>94</v>
      </c>
      <c r="AK11" s="1" t="s">
        <v>95</v>
      </c>
      <c r="AL11" s="1" t="s">
        <v>96</v>
      </c>
    </row>
    <row r="12" spans="3:38" ht="15.75">
      <c r="C12" t="s">
        <v>97</v>
      </c>
      <c r="E12" t="s">
        <v>98</v>
      </c>
      <c r="L12" t="s">
        <v>99</v>
      </c>
      <c r="M12">
        <v>2005</v>
      </c>
      <c r="P12" s="20" t="s">
        <v>100</v>
      </c>
      <c r="Q12" t="s">
        <v>101</v>
      </c>
      <c r="T12" s="21"/>
      <c r="W12" s="28"/>
      <c r="X12" s="29" t="s">
        <v>77</v>
      </c>
      <c r="Y12" t="s">
        <v>102</v>
      </c>
      <c r="AB12" s="21"/>
      <c r="AE12" t="s">
        <v>103</v>
      </c>
      <c r="AF12" t="s">
        <v>104</v>
      </c>
      <c r="AG12" t="s">
        <v>105</v>
      </c>
      <c r="AK12" s="1" t="s">
        <v>106</v>
      </c>
      <c r="AL12" s="1" t="s">
        <v>107</v>
      </c>
    </row>
    <row r="13" spans="3:38" ht="15.75">
      <c r="C13" t="s">
        <v>108</v>
      </c>
      <c r="E13" t="s">
        <v>109</v>
      </c>
      <c r="L13" t="s">
        <v>110</v>
      </c>
      <c r="M13">
        <v>13</v>
      </c>
      <c r="P13" s="28"/>
      <c r="T13" s="21"/>
      <c r="W13" s="28"/>
      <c r="X13" s="29" t="s">
        <v>111</v>
      </c>
      <c r="Y13" t="s">
        <v>112</v>
      </c>
      <c r="AB13" s="21"/>
      <c r="AE13" t="s">
        <v>113</v>
      </c>
      <c r="AF13" t="s">
        <v>114</v>
      </c>
      <c r="AG13" t="s">
        <v>115</v>
      </c>
      <c r="AK13" s="1" t="s">
        <v>116</v>
      </c>
      <c r="AL13" s="1" t="s">
        <v>117</v>
      </c>
    </row>
    <row r="14" spans="3:38" ht="15.75">
      <c r="C14" t="s">
        <v>118</v>
      </c>
      <c r="E14" t="s">
        <v>119</v>
      </c>
      <c r="L14" t="s">
        <v>120</v>
      </c>
      <c r="M14" t="s">
        <v>121</v>
      </c>
      <c r="P14" s="28"/>
      <c r="Q14" t="s">
        <v>122</v>
      </c>
      <c r="T14" s="21"/>
      <c r="W14" s="28"/>
      <c r="X14" s="29" t="s">
        <v>123</v>
      </c>
      <c r="Y14" t="s">
        <v>124</v>
      </c>
      <c r="AB14" s="21"/>
      <c r="AE14" t="s">
        <v>125</v>
      </c>
      <c r="AF14" t="s">
        <v>126</v>
      </c>
      <c r="AG14" t="s">
        <v>127</v>
      </c>
      <c r="AK14" s="1" t="s">
        <v>128</v>
      </c>
      <c r="AL14" s="1" t="s">
        <v>129</v>
      </c>
    </row>
    <row r="15" spans="3:38" ht="16.5" thickBot="1">
      <c r="C15" t="s">
        <v>130</v>
      </c>
      <c r="E15" t="s">
        <v>131</v>
      </c>
      <c r="L15" t="s">
        <v>132</v>
      </c>
      <c r="M15" t="s">
        <v>121</v>
      </c>
      <c r="P15" s="30"/>
      <c r="Q15" s="31"/>
      <c r="R15" s="31"/>
      <c r="S15" s="31"/>
      <c r="T15" s="32"/>
      <c r="W15" s="28"/>
      <c r="X15" s="29" t="s">
        <v>133</v>
      </c>
      <c r="Y15" t="s">
        <v>134</v>
      </c>
      <c r="AA15" s="2"/>
      <c r="AB15" s="21"/>
      <c r="AE15" t="s">
        <v>135</v>
      </c>
      <c r="AF15" t="s">
        <v>136</v>
      </c>
      <c r="AG15" t="s">
        <v>137</v>
      </c>
      <c r="AK15" t="s">
        <v>138</v>
      </c>
      <c r="AL15" s="1" t="s">
        <v>139</v>
      </c>
    </row>
    <row r="16" spans="3:38" ht="16.5" thickTop="1">
      <c r="C16" t="s">
        <v>140</v>
      </c>
      <c r="E16" t="s">
        <v>17</v>
      </c>
      <c r="L16" t="s">
        <v>141</v>
      </c>
      <c r="M16" t="s">
        <v>142</v>
      </c>
      <c r="W16" s="28"/>
      <c r="X16" s="29" t="s">
        <v>143</v>
      </c>
      <c r="Y16" t="s">
        <v>144</v>
      </c>
      <c r="AB16" s="21"/>
      <c r="AE16" t="s">
        <v>145</v>
      </c>
      <c r="AF16" t="s">
        <v>146</v>
      </c>
      <c r="AG16" t="s">
        <v>147</v>
      </c>
      <c r="AK16" t="s">
        <v>148</v>
      </c>
      <c r="AL16" s="1" t="s">
        <v>149</v>
      </c>
    </row>
    <row r="17" spans="3:38" ht="15.75">
      <c r="C17" t="s">
        <v>150</v>
      </c>
      <c r="L17" t="s">
        <v>151</v>
      </c>
      <c r="M17" t="s">
        <v>152</v>
      </c>
      <c r="W17" s="28"/>
      <c r="AB17" s="21"/>
      <c r="AE17" t="s">
        <v>153</v>
      </c>
      <c r="AF17" t="s">
        <v>154</v>
      </c>
      <c r="AG17" t="s">
        <v>142</v>
      </c>
      <c r="AK17" s="1" t="s">
        <v>155</v>
      </c>
      <c r="AL17" s="1" t="s">
        <v>156</v>
      </c>
    </row>
    <row r="18" spans="3:38" ht="15.75">
      <c r="C18" t="s">
        <v>157</v>
      </c>
      <c r="L18" t="s">
        <v>158</v>
      </c>
      <c r="M18">
        <v>10</v>
      </c>
      <c r="W18" s="28"/>
      <c r="Y18" t="s">
        <v>159</v>
      </c>
      <c r="AB18" s="21"/>
      <c r="AK18" s="1"/>
      <c r="AL18" s="1" t="s">
        <v>49</v>
      </c>
    </row>
    <row r="19" spans="3:38" ht="16.5" thickBot="1">
      <c r="C19" t="s">
        <v>160</v>
      </c>
      <c r="L19" t="s">
        <v>161</v>
      </c>
      <c r="M19">
        <v>0.35</v>
      </c>
      <c r="W19" s="30"/>
      <c r="X19" s="31"/>
      <c r="Y19" s="31"/>
      <c r="Z19" s="31"/>
      <c r="AA19" s="31"/>
      <c r="AB19" s="32"/>
      <c r="AK19" s="1"/>
      <c r="AL19" s="1"/>
    </row>
    <row r="20" spans="2:38" ht="16.5" thickTop="1">
      <c r="B20" t="s">
        <v>162</v>
      </c>
      <c r="C20" t="s">
        <v>163</v>
      </c>
      <c r="H20" s="7"/>
      <c r="L20" t="s">
        <v>164</v>
      </c>
      <c r="M20">
        <v>0</v>
      </c>
      <c r="AK20" s="1"/>
      <c r="AL20" s="1"/>
    </row>
    <row r="21" spans="3:38" ht="15.75">
      <c r="C21" t="s">
        <v>160</v>
      </c>
      <c r="L21" t="s">
        <v>165</v>
      </c>
      <c r="M21">
        <v>0</v>
      </c>
      <c r="AK21" s="1"/>
      <c r="AL21" s="1"/>
    </row>
    <row r="22" spans="2:38" ht="15.75">
      <c r="B22" t="s">
        <v>166</v>
      </c>
      <c r="C22" t="s">
        <v>167</v>
      </c>
      <c r="L22" t="s">
        <v>168</v>
      </c>
      <c r="M22">
        <v>0</v>
      </c>
      <c r="AK22" s="1"/>
      <c r="AL22" s="1"/>
    </row>
    <row r="23" spans="3:38" ht="15.75">
      <c r="C23" t="s">
        <v>169</v>
      </c>
      <c r="L23" t="s">
        <v>170</v>
      </c>
      <c r="M23" t="s">
        <v>171</v>
      </c>
      <c r="AK23" s="1"/>
      <c r="AL23" s="1"/>
    </row>
    <row r="24" spans="3:38" ht="15.75">
      <c r="C24" t="s">
        <v>172</v>
      </c>
      <c r="L24" t="s">
        <v>173</v>
      </c>
      <c r="M24">
        <v>0.15</v>
      </c>
      <c r="AK24" s="1"/>
      <c r="AL24" s="1"/>
    </row>
    <row r="25" spans="3:38" ht="15.75">
      <c r="C25" t="s">
        <v>174</v>
      </c>
      <c r="L25" t="s">
        <v>175</v>
      </c>
      <c r="M25" t="s">
        <v>176</v>
      </c>
      <c r="AK25" s="1"/>
      <c r="AL25" s="1"/>
    </row>
    <row r="26" spans="3:38" ht="15.75">
      <c r="C26" t="s">
        <v>177</v>
      </c>
      <c r="L26" t="s">
        <v>178</v>
      </c>
      <c r="M26">
        <v>5000</v>
      </c>
      <c r="AK26" s="1"/>
      <c r="AL26" s="1"/>
    </row>
    <row r="27" spans="12:38" ht="15.75">
      <c r="L27" t="s">
        <v>179</v>
      </c>
      <c r="M27">
        <v>0.1</v>
      </c>
      <c r="AK27" s="1"/>
      <c r="AL27" s="1"/>
    </row>
    <row r="28" spans="2:38" ht="15.75">
      <c r="B28" t="s">
        <v>180</v>
      </c>
      <c r="C28" t="s">
        <v>181</v>
      </c>
      <c r="L28" t="s">
        <v>182</v>
      </c>
      <c r="M28">
        <v>0.15</v>
      </c>
      <c r="AK28" s="1"/>
      <c r="AL28" s="1"/>
    </row>
    <row r="29" spans="12:38" ht="15.75">
      <c r="L29" t="s">
        <v>183</v>
      </c>
      <c r="M29">
        <v>100</v>
      </c>
      <c r="AK29" s="1"/>
      <c r="AL29" s="1"/>
    </row>
    <row r="30" spans="2:38" ht="15.75">
      <c r="B30" t="s">
        <v>184</v>
      </c>
      <c r="C30" t="s">
        <v>185</v>
      </c>
      <c r="L30" t="s">
        <v>186</v>
      </c>
      <c r="M30">
        <v>200</v>
      </c>
      <c r="AK30" s="1"/>
      <c r="AL30" s="1"/>
    </row>
    <row r="31" spans="12:38" ht="15.75">
      <c r="L31" t="s">
        <v>187</v>
      </c>
      <c r="M31">
        <v>55</v>
      </c>
      <c r="AK31" s="1"/>
      <c r="AL31" s="1"/>
    </row>
    <row r="32" spans="2:38" ht="15.75">
      <c r="B32" t="s">
        <v>188</v>
      </c>
      <c r="C32" t="s">
        <v>189</v>
      </c>
      <c r="L32" t="s">
        <v>190</v>
      </c>
      <c r="M32">
        <v>90</v>
      </c>
      <c r="AK32" s="3"/>
      <c r="AL32" s="1"/>
    </row>
    <row r="33" spans="3:38" ht="15.75">
      <c r="C33" t="s">
        <v>191</v>
      </c>
      <c r="L33" t="s">
        <v>192</v>
      </c>
      <c r="M33">
        <v>0.2</v>
      </c>
      <c r="AK33" s="3"/>
      <c r="AL33" s="1"/>
    </row>
    <row r="34" spans="3:38" ht="15.75">
      <c r="C34" t="s">
        <v>193</v>
      </c>
      <c r="L34" t="s">
        <v>194</v>
      </c>
      <c r="M34" t="s">
        <v>121</v>
      </c>
      <c r="AK34" s="3"/>
      <c r="AL34" s="1"/>
    </row>
    <row r="35" spans="3:38" ht="15.75">
      <c r="C35" t="s">
        <v>195</v>
      </c>
      <c r="L35" t="s">
        <v>196</v>
      </c>
      <c r="M35">
        <v>0.15</v>
      </c>
      <c r="AK35" s="3"/>
      <c r="AL35" s="1"/>
    </row>
    <row r="36" spans="2:38" ht="15.75">
      <c r="B36" t="s">
        <v>197</v>
      </c>
      <c r="C36" t="s">
        <v>198</v>
      </c>
      <c r="L36" t="s">
        <v>199</v>
      </c>
      <c r="M36">
        <v>3</v>
      </c>
      <c r="AK36" s="3"/>
      <c r="AL36" s="1"/>
    </row>
    <row r="37" spans="3:38" ht="15.75">
      <c r="C37" t="s">
        <v>200</v>
      </c>
      <c r="L37" t="s">
        <v>201</v>
      </c>
      <c r="M37" t="s">
        <v>121</v>
      </c>
      <c r="AK37" s="3"/>
      <c r="AL37" s="1"/>
    </row>
    <row r="38" spans="2:38" ht="15.75">
      <c r="B38" t="s">
        <v>202</v>
      </c>
      <c r="C38" t="s">
        <v>203</v>
      </c>
      <c r="L38" t="s">
        <v>204</v>
      </c>
      <c r="M38" t="s">
        <v>16</v>
      </c>
      <c r="AK38" s="3"/>
      <c r="AL38" s="1"/>
    </row>
    <row r="39" spans="3:38" ht="15.75">
      <c r="C39" t="s">
        <v>205</v>
      </c>
      <c r="L39" t="s">
        <v>206</v>
      </c>
      <c r="M39">
        <v>25</v>
      </c>
      <c r="AK39" s="3"/>
      <c r="AL39" s="1"/>
    </row>
    <row r="40" spans="2:38" ht="30.75">
      <c r="B40" t="s">
        <v>207</v>
      </c>
      <c r="C40" t="s">
        <v>208</v>
      </c>
      <c r="L40" t="s">
        <v>209</v>
      </c>
      <c r="M40">
        <v>20</v>
      </c>
      <c r="W40" s="10" t="s">
        <v>10</v>
      </c>
      <c r="X40" s="11"/>
      <c r="Y40" s="11"/>
      <c r="Z40" s="11"/>
      <c r="AA40" s="11"/>
      <c r="AB40" s="11"/>
      <c r="AK40" s="3"/>
      <c r="AL40" s="1"/>
    </row>
    <row r="41" spans="3:38" ht="15.75">
      <c r="C41" t="s">
        <v>210</v>
      </c>
      <c r="L41" t="s">
        <v>211</v>
      </c>
      <c r="M41">
        <v>0</v>
      </c>
      <c r="W41" s="33" t="s">
        <v>212</v>
      </c>
      <c r="X41" s="11"/>
      <c r="Y41" s="11"/>
      <c r="Z41" s="11"/>
      <c r="AA41" s="11"/>
      <c r="AB41" s="11"/>
      <c r="AK41" s="3"/>
      <c r="AL41" s="1"/>
    </row>
    <row r="42" spans="3:38" ht="15.75">
      <c r="C42" t="s">
        <v>213</v>
      </c>
      <c r="L42" t="s">
        <v>214</v>
      </c>
      <c r="M42">
        <v>0</v>
      </c>
      <c r="W42" s="34" t="s">
        <v>215</v>
      </c>
      <c r="X42" s="11"/>
      <c r="Y42" s="11"/>
      <c r="Z42" s="11"/>
      <c r="AA42" s="11"/>
      <c r="AB42" s="11"/>
      <c r="AK42" s="3"/>
      <c r="AL42" s="1"/>
    </row>
    <row r="43" spans="3:38" ht="15.75">
      <c r="C43" t="s">
        <v>216</v>
      </c>
      <c r="L43" t="s">
        <v>217</v>
      </c>
      <c r="M43">
        <v>0.28</v>
      </c>
      <c r="AK43" s="3"/>
      <c r="AL43" s="1"/>
    </row>
    <row r="44" spans="2:38" ht="15.75">
      <c r="B44" t="s">
        <v>218</v>
      </c>
      <c r="C44" t="s">
        <v>219</v>
      </c>
      <c r="L44" t="s">
        <v>220</v>
      </c>
      <c r="M44">
        <v>0.7</v>
      </c>
      <c r="AK44" s="3"/>
      <c r="AL44" s="1"/>
    </row>
    <row r="45" spans="3:38" ht="15.75">
      <c r="C45" t="s">
        <v>221</v>
      </c>
      <c r="L45" t="s">
        <v>222</v>
      </c>
      <c r="M45">
        <v>0.4</v>
      </c>
      <c r="AK45" s="3"/>
      <c r="AL45" s="1"/>
    </row>
    <row r="46" spans="2:38" ht="15.75">
      <c r="B46" t="s">
        <v>223</v>
      </c>
      <c r="C46" t="s">
        <v>224</v>
      </c>
      <c r="L46" t="s">
        <v>225</v>
      </c>
      <c r="M46" t="s">
        <v>176</v>
      </c>
      <c r="AK46" s="3"/>
      <c r="AL46" s="1"/>
    </row>
    <row r="47" spans="3:38" ht="15.75">
      <c r="C47" t="s">
        <v>226</v>
      </c>
      <c r="L47" t="s">
        <v>227</v>
      </c>
      <c r="M47" t="s">
        <v>228</v>
      </c>
      <c r="AK47" s="3"/>
      <c r="AL47" s="1"/>
    </row>
    <row r="48" spans="3:38" ht="15.75">
      <c r="C48" t="s">
        <v>229</v>
      </c>
      <c r="L48" t="s">
        <v>230</v>
      </c>
      <c r="M48">
        <v>4</v>
      </c>
      <c r="W48" s="33" t="s">
        <v>231</v>
      </c>
      <c r="X48" s="11"/>
      <c r="Y48" s="11"/>
      <c r="Z48" s="11"/>
      <c r="AA48" s="11"/>
      <c r="AB48" s="11"/>
      <c r="AK48" s="3"/>
      <c r="AL48" s="1"/>
    </row>
    <row r="49" spans="3:37" ht="15.75">
      <c r="C49" t="s">
        <v>232</v>
      </c>
      <c r="L49" t="s">
        <v>233</v>
      </c>
      <c r="M49">
        <v>20000</v>
      </c>
      <c r="AK49" s="3"/>
    </row>
    <row r="50" spans="3:37" ht="15.75">
      <c r="C50" t="s">
        <v>234</v>
      </c>
      <c r="L50" t="s">
        <v>235</v>
      </c>
      <c r="M50">
        <v>250</v>
      </c>
      <c r="AK50" s="4"/>
    </row>
    <row r="51" spans="3:37" ht="15.75">
      <c r="C51" t="s">
        <v>236</v>
      </c>
      <c r="L51" t="s">
        <v>237</v>
      </c>
      <c r="M51">
        <v>7</v>
      </c>
      <c r="AK51" s="4"/>
    </row>
    <row r="52" spans="3:37" ht="15.75">
      <c r="C52" t="s">
        <v>238</v>
      </c>
      <c r="L52" t="s">
        <v>239</v>
      </c>
      <c r="M52">
        <v>6250</v>
      </c>
      <c r="AK52" s="3"/>
    </row>
    <row r="53" spans="3:46" ht="15.75">
      <c r="C53" t="s">
        <v>17</v>
      </c>
      <c r="L53" t="s">
        <v>240</v>
      </c>
      <c r="M53">
        <v>0.1</v>
      </c>
      <c r="W53" s="11" t="s">
        <v>241</v>
      </c>
      <c r="AK53" s="1"/>
      <c r="AL53" s="1"/>
      <c r="AM53" s="1"/>
      <c r="AN53" s="1"/>
      <c r="AO53" s="1"/>
      <c r="AP53" s="1"/>
      <c r="AQ53" s="1"/>
      <c r="AR53" s="1"/>
      <c r="AS53" s="4"/>
      <c r="AT53" s="4"/>
    </row>
    <row r="54" spans="12:37" ht="15.75">
      <c r="L54" t="s">
        <v>242</v>
      </c>
      <c r="M54">
        <v>0</v>
      </c>
      <c r="W54" t="s">
        <v>243</v>
      </c>
      <c r="AK54" s="4"/>
    </row>
    <row r="55" spans="2:37" ht="15.75">
      <c r="B55" t="s">
        <v>244</v>
      </c>
      <c r="C55" t="s">
        <v>245</v>
      </c>
      <c r="L55" t="s">
        <v>246</v>
      </c>
      <c r="M55">
        <v>0</v>
      </c>
      <c r="W55" t="s">
        <v>247</v>
      </c>
      <c r="AK55" s="3"/>
    </row>
    <row r="56" spans="3:37" ht="15.75">
      <c r="C56" t="s">
        <v>248</v>
      </c>
      <c r="L56" t="s">
        <v>249</v>
      </c>
      <c r="M56">
        <v>0</v>
      </c>
      <c r="AK56" s="3"/>
    </row>
    <row r="57" spans="3:37" ht="15.75">
      <c r="C57" t="s">
        <v>250</v>
      </c>
      <c r="L57" t="s">
        <v>251</v>
      </c>
      <c r="M57" t="s">
        <v>121</v>
      </c>
      <c r="AK57" s="3"/>
    </row>
    <row r="58" spans="3:37" ht="15.75">
      <c r="C58" t="s">
        <v>252</v>
      </c>
      <c r="L58" t="s">
        <v>253</v>
      </c>
      <c r="M58">
        <v>0</v>
      </c>
      <c r="AK58" s="3"/>
    </row>
    <row r="59" spans="3:37" ht="15.75">
      <c r="C59" t="s">
        <v>254</v>
      </c>
      <c r="L59" t="s">
        <v>255</v>
      </c>
      <c r="M59">
        <v>0</v>
      </c>
      <c r="AK59" s="3"/>
    </row>
    <row r="60" spans="3:37" ht="15.75">
      <c r="C60" t="s">
        <v>256</v>
      </c>
      <c r="L60" t="s">
        <v>257</v>
      </c>
      <c r="M60">
        <v>35089.63101851852</v>
      </c>
      <c r="AK60" s="3"/>
    </row>
    <row r="61" spans="3:37" ht="15.75">
      <c r="C61" t="s">
        <v>258</v>
      </c>
      <c r="L61" t="s">
        <v>259</v>
      </c>
      <c r="AK61" s="3"/>
    </row>
    <row r="62" spans="3:37" ht="15.75">
      <c r="C62" t="s">
        <v>260</v>
      </c>
      <c r="L62" t="s">
        <v>261</v>
      </c>
      <c r="M62">
        <v>40</v>
      </c>
      <c r="AK62" s="3"/>
    </row>
    <row r="63" spans="3:37" ht="15.75">
      <c r="C63" t="s">
        <v>262</v>
      </c>
      <c r="L63" t="s">
        <v>263</v>
      </c>
      <c r="M63">
        <v>0.6</v>
      </c>
      <c r="AK63" s="3"/>
    </row>
    <row r="64" spans="3:37" ht="15.75">
      <c r="C64" t="s">
        <v>264</v>
      </c>
      <c r="L64" t="s">
        <v>265</v>
      </c>
      <c r="M64">
        <v>1</v>
      </c>
      <c r="AK64" s="3"/>
    </row>
    <row r="65" spans="2:37" ht="15.75">
      <c r="B65" t="s">
        <v>266</v>
      </c>
      <c r="C65" t="s">
        <v>267</v>
      </c>
      <c r="L65" t="s">
        <v>268</v>
      </c>
      <c r="M65" t="s">
        <v>269</v>
      </c>
      <c r="AK65" s="3"/>
    </row>
    <row r="66" spans="3:13" ht="15.75">
      <c r="C66" t="s">
        <v>270</v>
      </c>
      <c r="L66" t="s">
        <v>271</v>
      </c>
      <c r="M66">
        <v>0.15</v>
      </c>
    </row>
    <row r="67" spans="3:13" ht="15.75">
      <c r="C67" t="s">
        <v>272</v>
      </c>
      <c r="L67" t="s">
        <v>273</v>
      </c>
      <c r="M67" t="s">
        <v>176</v>
      </c>
    </row>
    <row r="68" spans="3:13" ht="15.75">
      <c r="C68" t="s">
        <v>274</v>
      </c>
      <c r="L68" t="s">
        <v>275</v>
      </c>
      <c r="M68">
        <v>1</v>
      </c>
    </row>
    <row r="69" spans="3:13" ht="15.75">
      <c r="C69" t="s">
        <v>276</v>
      </c>
      <c r="L69" t="s">
        <v>277</v>
      </c>
      <c r="M69">
        <v>0.1</v>
      </c>
    </row>
    <row r="70" spans="3:13" ht="15.75">
      <c r="C70" t="s">
        <v>278</v>
      </c>
      <c r="L70" t="s">
        <v>279</v>
      </c>
      <c r="M70">
        <v>0.5</v>
      </c>
    </row>
    <row r="71" spans="3:13" ht="15.75">
      <c r="C71" t="s">
        <v>252</v>
      </c>
      <c r="L71" t="s">
        <v>280</v>
      </c>
      <c r="M71" t="s">
        <v>176</v>
      </c>
    </row>
    <row r="72" spans="3:13" ht="15.75">
      <c r="C72" t="s">
        <v>281</v>
      </c>
      <c r="L72" t="s">
        <v>282</v>
      </c>
      <c r="M72">
        <v>0</v>
      </c>
    </row>
    <row r="73" spans="3:13" ht="15.75">
      <c r="C73" t="s">
        <v>283</v>
      </c>
      <c r="L73" t="s">
        <v>284</v>
      </c>
      <c r="M73">
        <v>0</v>
      </c>
    </row>
    <row r="74" spans="3:13" ht="15.75">
      <c r="C74" t="s">
        <v>285</v>
      </c>
      <c r="L74" t="s">
        <v>286</v>
      </c>
      <c r="M74">
        <v>0.1</v>
      </c>
    </row>
    <row r="75" spans="3:13" ht="15.75">
      <c r="C75" t="s">
        <v>248</v>
      </c>
      <c r="L75" t="s">
        <v>287</v>
      </c>
      <c r="M75">
        <v>0.1</v>
      </c>
    </row>
    <row r="76" spans="3:12" ht="15.75">
      <c r="C76" t="s">
        <v>250</v>
      </c>
      <c r="L76" t="s">
        <v>288</v>
      </c>
    </row>
    <row r="77" ht="15.75">
      <c r="C77" t="s">
        <v>252</v>
      </c>
    </row>
    <row r="78" ht="15.75">
      <c r="C78" t="s">
        <v>289</v>
      </c>
    </row>
    <row r="79" ht="15.75">
      <c r="C79" t="s">
        <v>290</v>
      </c>
    </row>
    <row r="80" ht="15.75">
      <c r="C80" t="s">
        <v>258</v>
      </c>
    </row>
    <row r="81" ht="15.75">
      <c r="C81" t="s">
        <v>260</v>
      </c>
    </row>
    <row r="82" ht="15.75">
      <c r="C82" t="s">
        <v>291</v>
      </c>
    </row>
    <row r="83" ht="15.75">
      <c r="C83" t="s">
        <v>292</v>
      </c>
    </row>
    <row r="84" ht="15.75">
      <c r="C84" t="s">
        <v>293</v>
      </c>
    </row>
    <row r="85" ht="15.75">
      <c r="C85" t="s">
        <v>294</v>
      </c>
    </row>
    <row r="86" ht="15.75">
      <c r="C86" t="s">
        <v>295</v>
      </c>
    </row>
    <row r="87" ht="15.75">
      <c r="C87" t="s">
        <v>296</v>
      </c>
    </row>
    <row r="88" ht="15.75">
      <c r="C88" t="s">
        <v>297</v>
      </c>
    </row>
    <row r="89" ht="15.75">
      <c r="C89" t="s">
        <v>298</v>
      </c>
    </row>
    <row r="90" ht="15.75">
      <c r="C90" t="s">
        <v>299</v>
      </c>
    </row>
    <row r="91" ht="15.75">
      <c r="C91" t="s">
        <v>300</v>
      </c>
    </row>
    <row r="92" spans="1:3" ht="15.75">
      <c r="A92" s="5"/>
      <c r="C92" t="s">
        <v>301</v>
      </c>
    </row>
    <row r="93" ht="15.75">
      <c r="C93" t="s">
        <v>11</v>
      </c>
    </row>
    <row r="96" spans="2:3" ht="15.75">
      <c r="B96" t="s">
        <v>302</v>
      </c>
      <c r="C96" t="s">
        <v>303</v>
      </c>
    </row>
    <row r="97" ht="15.75">
      <c r="C97" t="s">
        <v>304</v>
      </c>
    </row>
    <row r="98" ht="15.75">
      <c r="C98" t="s">
        <v>305</v>
      </c>
    </row>
    <row r="99" ht="15.75">
      <c r="C99" t="s">
        <v>306</v>
      </c>
    </row>
    <row r="100" ht="15.75">
      <c r="C100" t="s">
        <v>307</v>
      </c>
    </row>
    <row r="101" ht="15.75">
      <c r="C101" t="s">
        <v>308</v>
      </c>
    </row>
    <row r="102" ht="15.75">
      <c r="C102" t="s">
        <v>309</v>
      </c>
    </row>
    <row r="103" ht="15.75">
      <c r="C103" t="s">
        <v>310</v>
      </c>
    </row>
    <row r="104" ht="15.75">
      <c r="C104" t="s">
        <v>311</v>
      </c>
    </row>
    <row r="105" ht="15.75">
      <c r="C105" t="s">
        <v>312</v>
      </c>
    </row>
    <row r="106" ht="15.75">
      <c r="C106" t="s">
        <v>313</v>
      </c>
    </row>
    <row r="108" spans="2:3" ht="15.75">
      <c r="B108" t="s">
        <v>314</v>
      </c>
      <c r="C108" t="s">
        <v>315</v>
      </c>
    </row>
    <row r="109" ht="15.75">
      <c r="C109" t="s">
        <v>316</v>
      </c>
    </row>
    <row r="110" ht="15.75">
      <c r="C110" t="s">
        <v>317</v>
      </c>
    </row>
    <row r="111" ht="15.75">
      <c r="C111" t="s">
        <v>318</v>
      </c>
    </row>
    <row r="112" ht="15.75">
      <c r="C112" t="s">
        <v>319</v>
      </c>
    </row>
    <row r="113" spans="2:3" ht="15.75">
      <c r="B113" t="s">
        <v>320</v>
      </c>
      <c r="C113" t="s">
        <v>321</v>
      </c>
    </row>
    <row r="114" ht="15.75">
      <c r="C114" t="s">
        <v>322</v>
      </c>
    </row>
    <row r="115" ht="15.75">
      <c r="C115" t="s">
        <v>323</v>
      </c>
    </row>
    <row r="116" ht="15.75">
      <c r="C116" t="s">
        <v>324</v>
      </c>
    </row>
    <row r="117" ht="15.75">
      <c r="C117" t="s">
        <v>325</v>
      </c>
    </row>
    <row r="118" ht="15.75">
      <c r="C118" s="6" t="s">
        <v>326</v>
      </c>
    </row>
    <row r="119" spans="3:9" ht="15.75">
      <c r="C119" t="s">
        <v>327</v>
      </c>
      <c r="H119" s="2"/>
      <c r="I119" s="2"/>
    </row>
    <row r="120" ht="15.75">
      <c r="C120" t="s">
        <v>328</v>
      </c>
    </row>
    <row r="121" ht="15.75">
      <c r="C121" t="s">
        <v>329</v>
      </c>
    </row>
    <row r="122" ht="15.75">
      <c r="C122" t="s">
        <v>330</v>
      </c>
    </row>
    <row r="123" ht="15.75">
      <c r="C123" t="s">
        <v>295</v>
      </c>
    </row>
    <row r="124" ht="15.75">
      <c r="C124" t="s">
        <v>331</v>
      </c>
    </row>
    <row r="125" ht="15.75">
      <c r="C125" t="s">
        <v>332</v>
      </c>
    </row>
    <row r="126" ht="15.75">
      <c r="C126" t="s">
        <v>333</v>
      </c>
    </row>
    <row r="127" ht="15.75">
      <c r="C127" t="s">
        <v>334</v>
      </c>
    </row>
    <row r="128" ht="15.75">
      <c r="C128" t="s">
        <v>335</v>
      </c>
    </row>
    <row r="129" ht="15.75">
      <c r="C129" t="s">
        <v>11</v>
      </c>
    </row>
    <row r="131" spans="2:3" ht="15.75">
      <c r="B131" t="s">
        <v>336</v>
      </c>
      <c r="C131" t="s">
        <v>337</v>
      </c>
    </row>
    <row r="132" ht="15.75">
      <c r="C132" t="s">
        <v>338</v>
      </c>
    </row>
    <row r="133" ht="15.75">
      <c r="C133" t="s">
        <v>339</v>
      </c>
    </row>
    <row r="134" ht="15.75">
      <c r="C134" t="s">
        <v>340</v>
      </c>
    </row>
    <row r="135" ht="15.75">
      <c r="C135" t="s">
        <v>341</v>
      </c>
    </row>
    <row r="136" ht="15.75">
      <c r="C136" t="s">
        <v>342</v>
      </c>
    </row>
    <row r="137" ht="15.75">
      <c r="C137" t="s">
        <v>343</v>
      </c>
    </row>
    <row r="138" spans="2:3" ht="15.75">
      <c r="B138" s="7"/>
      <c r="C138" s="7"/>
    </row>
    <row r="139" spans="2:3" ht="15.75">
      <c r="B139" t="s">
        <v>344</v>
      </c>
      <c r="C139" t="s">
        <v>345</v>
      </c>
    </row>
    <row r="141" spans="2:3" ht="15.75">
      <c r="B141" t="s">
        <v>346</v>
      </c>
      <c r="C141" t="s">
        <v>347</v>
      </c>
    </row>
    <row r="143" spans="2:3" ht="15.75">
      <c r="B143" t="s">
        <v>348</v>
      </c>
      <c r="C143" t="s">
        <v>349</v>
      </c>
    </row>
    <row r="145" spans="2:3" ht="15.75">
      <c r="B145" t="s">
        <v>350</v>
      </c>
      <c r="C145" t="s">
        <v>351</v>
      </c>
    </row>
    <row r="146" ht="15.75">
      <c r="C146" t="s">
        <v>352</v>
      </c>
    </row>
    <row r="147" ht="15.75">
      <c r="C147" t="s">
        <v>353</v>
      </c>
    </row>
    <row r="149" spans="2:3" ht="15.75">
      <c r="B149" t="s">
        <v>354</v>
      </c>
      <c r="C149" t="s">
        <v>355</v>
      </c>
    </row>
    <row r="150" ht="15.75">
      <c r="C150" t="s">
        <v>351</v>
      </c>
    </row>
    <row r="152" spans="2:3" ht="15.75">
      <c r="B152" t="s">
        <v>356</v>
      </c>
      <c r="C152" t="s">
        <v>357</v>
      </c>
    </row>
    <row r="153" spans="2:3" ht="15.75">
      <c r="B153" t="s">
        <v>358</v>
      </c>
      <c r="C153" t="s">
        <v>359</v>
      </c>
    </row>
    <row r="154" ht="15.75">
      <c r="C154" t="s">
        <v>360</v>
      </c>
    </row>
    <row r="155" ht="15.75">
      <c r="C155" t="s">
        <v>361</v>
      </c>
    </row>
    <row r="156" ht="15.75">
      <c r="C156" t="s">
        <v>362</v>
      </c>
    </row>
    <row r="157" ht="15.75">
      <c r="C157" t="s">
        <v>363</v>
      </c>
    </row>
    <row r="158" ht="15.75">
      <c r="C158" t="s">
        <v>364</v>
      </c>
    </row>
    <row r="159" ht="15.75">
      <c r="C159" t="s">
        <v>365</v>
      </c>
    </row>
    <row r="160" ht="15.75">
      <c r="C160" t="s">
        <v>366</v>
      </c>
    </row>
    <row r="161" ht="15.75">
      <c r="C161" t="s">
        <v>367</v>
      </c>
    </row>
    <row r="162" ht="15.75">
      <c r="C162" t="s">
        <v>368</v>
      </c>
    </row>
    <row r="164" spans="2:3" ht="15.75">
      <c r="B164" t="s">
        <v>369</v>
      </c>
      <c r="C164" t="s">
        <v>370</v>
      </c>
    </row>
    <row r="165" ht="15.75">
      <c r="C165" t="s">
        <v>11</v>
      </c>
    </row>
    <row r="167" spans="2:3" ht="15.75">
      <c r="B167" t="s">
        <v>371</v>
      </c>
      <c r="C167" t="s">
        <v>372</v>
      </c>
    </row>
    <row r="168" ht="15.75">
      <c r="C168" t="s">
        <v>373</v>
      </c>
    </row>
    <row r="169" ht="15.75">
      <c r="C169" t="s">
        <v>374</v>
      </c>
    </row>
    <row r="170" ht="15.75">
      <c r="C170" t="s">
        <v>11</v>
      </c>
    </row>
    <row r="172" spans="2:3" ht="15.75">
      <c r="B172" t="s">
        <v>375</v>
      </c>
      <c r="C172" t="s">
        <v>11</v>
      </c>
    </row>
    <row r="174" spans="2:3" ht="15.75">
      <c r="B174" t="s">
        <v>376</v>
      </c>
      <c r="C174" t="s">
        <v>11</v>
      </c>
    </row>
    <row r="176" spans="2:3" ht="15.75">
      <c r="B176" t="s">
        <v>377</v>
      </c>
      <c r="C176" t="s">
        <v>378</v>
      </c>
    </row>
    <row r="177" ht="15.75">
      <c r="C177" t="s">
        <v>379</v>
      </c>
    </row>
    <row r="178" ht="15.75">
      <c r="C178" t="s">
        <v>364</v>
      </c>
    </row>
    <row r="179" ht="15.75">
      <c r="C179" t="s">
        <v>380</v>
      </c>
    </row>
    <row r="180" ht="15.75">
      <c r="C180" t="s">
        <v>381</v>
      </c>
    </row>
    <row r="181" ht="15.75">
      <c r="C181" t="s">
        <v>382</v>
      </c>
    </row>
    <row r="182" ht="15.75">
      <c r="C182" t="s">
        <v>383</v>
      </c>
    </row>
    <row r="183" ht="15.75">
      <c r="C183" t="s">
        <v>11</v>
      </c>
    </row>
    <row r="185" spans="2:3" ht="15.75">
      <c r="B185" t="s">
        <v>384</v>
      </c>
      <c r="C185" t="s">
        <v>385</v>
      </c>
    </row>
    <row r="186" ht="15.75">
      <c r="C186" t="s">
        <v>386</v>
      </c>
    </row>
    <row r="187" ht="15.75">
      <c r="C187" t="s">
        <v>387</v>
      </c>
    </row>
    <row r="188" ht="15.75">
      <c r="C188" t="s">
        <v>388</v>
      </c>
    </row>
    <row r="189" ht="15.75">
      <c r="C189" t="s">
        <v>389</v>
      </c>
    </row>
    <row r="190" ht="15.75">
      <c r="C190" t="s">
        <v>390</v>
      </c>
    </row>
    <row r="191" ht="15.75">
      <c r="C191" t="s">
        <v>391</v>
      </c>
    </row>
    <row r="192" ht="15.75">
      <c r="C192" t="s">
        <v>392</v>
      </c>
    </row>
    <row r="193" ht="15.75">
      <c r="C193" t="s">
        <v>382</v>
      </c>
    </row>
    <row r="194" spans="3:7" ht="15.75">
      <c r="C194" t="s">
        <v>393</v>
      </c>
      <c r="F194" s="2"/>
      <c r="G194" s="2"/>
    </row>
    <row r="196" spans="2:3" ht="15.75">
      <c r="B196" t="s">
        <v>394</v>
      </c>
      <c r="C196" t="s">
        <v>395</v>
      </c>
    </row>
    <row r="197" ht="15.75">
      <c r="C197" t="s">
        <v>396</v>
      </c>
    </row>
    <row r="198" ht="15.75">
      <c r="C198" t="s">
        <v>351</v>
      </c>
    </row>
    <row r="200" spans="2:3" ht="15.75">
      <c r="B200" t="s">
        <v>397</v>
      </c>
      <c r="C200" t="s">
        <v>398</v>
      </c>
    </row>
    <row r="201" spans="2:3" ht="15.75">
      <c r="B201" t="s">
        <v>399</v>
      </c>
      <c r="C201" t="s">
        <v>400</v>
      </c>
    </row>
    <row r="202" spans="1:3" ht="15.75">
      <c r="A202" t="s">
        <v>401</v>
      </c>
      <c r="C202" t="s">
        <v>402</v>
      </c>
    </row>
    <row r="203" ht="15.75">
      <c r="C203" t="s">
        <v>403</v>
      </c>
    </row>
    <row r="204" ht="15.75">
      <c r="C204" t="s">
        <v>404</v>
      </c>
    </row>
    <row r="205" ht="15.75">
      <c r="C205" t="s">
        <v>405</v>
      </c>
    </row>
    <row r="206" ht="15.75">
      <c r="C206" t="s">
        <v>406</v>
      </c>
    </row>
    <row r="207" ht="15.75">
      <c r="C207" t="s">
        <v>407</v>
      </c>
    </row>
    <row r="208" ht="15.75">
      <c r="C208" t="s">
        <v>408</v>
      </c>
    </row>
    <row r="209" ht="15.75">
      <c r="C209" t="s">
        <v>409</v>
      </c>
    </row>
    <row r="210" ht="15.75">
      <c r="C210" t="s">
        <v>410</v>
      </c>
    </row>
    <row r="212" spans="2:3" ht="15.75">
      <c r="B212" t="s">
        <v>411</v>
      </c>
      <c r="C212" t="s">
        <v>412</v>
      </c>
    </row>
    <row r="213" ht="15.75">
      <c r="C213" t="s">
        <v>413</v>
      </c>
    </row>
    <row r="214" spans="2:3" ht="15.75">
      <c r="B214" t="s">
        <v>414</v>
      </c>
      <c r="C214" t="s">
        <v>415</v>
      </c>
    </row>
    <row r="215" ht="15.75">
      <c r="C215" t="s">
        <v>416</v>
      </c>
    </row>
    <row r="216" spans="2:3" ht="15.75">
      <c r="B216" t="s">
        <v>417</v>
      </c>
      <c r="C216" t="s">
        <v>364</v>
      </c>
    </row>
    <row r="217" ht="15.75">
      <c r="C217" t="s">
        <v>418</v>
      </c>
    </row>
    <row r="218" ht="15.75">
      <c r="C218" t="s">
        <v>419</v>
      </c>
    </row>
    <row r="219" ht="15.75">
      <c r="C219" t="s">
        <v>420</v>
      </c>
    </row>
    <row r="220" ht="15.75">
      <c r="C220" t="s">
        <v>421</v>
      </c>
    </row>
    <row r="221" ht="15.75">
      <c r="C221" t="s">
        <v>422</v>
      </c>
    </row>
    <row r="222" ht="15.75">
      <c r="C222" t="s">
        <v>11</v>
      </c>
    </row>
    <row r="224" spans="2:3" ht="15.75">
      <c r="B224" t="s">
        <v>423</v>
      </c>
      <c r="C224" t="s">
        <v>424</v>
      </c>
    </row>
    <row r="225" ht="15.75">
      <c r="C225" t="s">
        <v>131</v>
      </c>
    </row>
    <row r="226" ht="15.75">
      <c r="C226" t="s">
        <v>425</v>
      </c>
    </row>
    <row r="227" ht="15.75">
      <c r="C227" t="s">
        <v>426</v>
      </c>
    </row>
    <row r="228" ht="15.75">
      <c r="C228" t="s">
        <v>427</v>
      </c>
    </row>
    <row r="230" spans="2:3" ht="15.75">
      <c r="B230" t="s">
        <v>428</v>
      </c>
      <c r="C230" t="s">
        <v>429</v>
      </c>
    </row>
    <row r="231" ht="15.75">
      <c r="C231" t="s">
        <v>430</v>
      </c>
    </row>
    <row r="232" ht="15.75">
      <c r="C232" t="s">
        <v>431</v>
      </c>
    </row>
    <row r="233" ht="15.75">
      <c r="C233" t="s">
        <v>364</v>
      </c>
    </row>
    <row r="234" ht="15.75">
      <c r="C234" t="s">
        <v>432</v>
      </c>
    </row>
    <row r="235" ht="15.75">
      <c r="C235" t="s">
        <v>433</v>
      </c>
    </row>
    <row r="236" ht="15.75">
      <c r="C236" t="s">
        <v>434</v>
      </c>
    </row>
    <row r="237" ht="15.75">
      <c r="C237" t="s">
        <v>435</v>
      </c>
    </row>
    <row r="238" ht="15.75">
      <c r="C238" t="s">
        <v>436</v>
      </c>
    </row>
    <row r="239" ht="15.75">
      <c r="C239" t="s">
        <v>437</v>
      </c>
    </row>
    <row r="240" ht="15.75">
      <c r="C240" t="s">
        <v>438</v>
      </c>
    </row>
    <row r="241" ht="15.75">
      <c r="C241" t="s">
        <v>439</v>
      </c>
    </row>
    <row r="242" ht="15.75">
      <c r="C242" t="s">
        <v>440</v>
      </c>
    </row>
    <row r="243" ht="15.75">
      <c r="C243" t="s">
        <v>11</v>
      </c>
    </row>
    <row r="245" spans="2:3" ht="15.75">
      <c r="B245" t="s">
        <v>441</v>
      </c>
      <c r="C245" t="s">
        <v>442</v>
      </c>
    </row>
    <row r="246" ht="15.75">
      <c r="C246" t="s">
        <v>443</v>
      </c>
    </row>
    <row r="247" ht="15.75">
      <c r="C247" t="s">
        <v>364</v>
      </c>
    </row>
    <row r="248" ht="15.75">
      <c r="C248" t="s">
        <v>444</v>
      </c>
    </row>
    <row r="249" ht="15.75">
      <c r="C249" t="s">
        <v>366</v>
      </c>
    </row>
    <row r="250" ht="15.75">
      <c r="C250" t="s">
        <v>364</v>
      </c>
    </row>
    <row r="251" ht="15.75">
      <c r="C251" t="s">
        <v>445</v>
      </c>
    </row>
    <row r="252" ht="15.75">
      <c r="C252" t="s">
        <v>366</v>
      </c>
    </row>
    <row r="253" ht="15.75">
      <c r="C253" t="s">
        <v>364</v>
      </c>
    </row>
    <row r="254" ht="15.75">
      <c r="C254" t="s">
        <v>446</v>
      </c>
    </row>
    <row r="255" ht="15.75">
      <c r="C255" t="s">
        <v>447</v>
      </c>
    </row>
    <row r="256" ht="15.75">
      <c r="C256" t="s">
        <v>448</v>
      </c>
    </row>
    <row r="257" ht="15.75">
      <c r="C257" t="s">
        <v>440</v>
      </c>
    </row>
    <row r="258" ht="15.75">
      <c r="C258" t="s">
        <v>11</v>
      </c>
    </row>
    <row r="260" spans="2:3" ht="15.75">
      <c r="B260" t="s">
        <v>449</v>
      </c>
      <c r="C260" t="s">
        <v>450</v>
      </c>
    </row>
    <row r="262" spans="2:3" ht="15.75">
      <c r="B262" t="s">
        <v>451</v>
      </c>
      <c r="C262" t="s">
        <v>452</v>
      </c>
    </row>
    <row r="263" ht="15.75">
      <c r="C263" t="s">
        <v>453</v>
      </c>
    </row>
    <row r="264" spans="2:3" ht="15.75">
      <c r="B264" t="s">
        <v>454</v>
      </c>
      <c r="C264" t="s">
        <v>455</v>
      </c>
    </row>
    <row r="265" ht="15.75">
      <c r="C265" t="s">
        <v>456</v>
      </c>
    </row>
    <row r="266" ht="15.75">
      <c r="C266" t="s">
        <v>457</v>
      </c>
    </row>
    <row r="267" ht="15.75">
      <c r="C267" t="s">
        <v>458</v>
      </c>
    </row>
    <row r="268" ht="15.75">
      <c r="C268" t="s">
        <v>459</v>
      </c>
    </row>
    <row r="269" ht="15.75">
      <c r="C269" t="s">
        <v>460</v>
      </c>
    </row>
    <row r="270" ht="15.75">
      <c r="C270" t="s">
        <v>453</v>
      </c>
    </row>
    <row r="271" ht="15.75">
      <c r="C271" t="s">
        <v>461</v>
      </c>
    </row>
    <row r="272" ht="15.75">
      <c r="C272" t="s">
        <v>462</v>
      </c>
    </row>
    <row r="273" ht="15.75">
      <c r="C273" t="s">
        <v>463</v>
      </c>
    </row>
    <row r="274" ht="15.75">
      <c r="C274" t="s">
        <v>464</v>
      </c>
    </row>
    <row r="275" ht="15.75">
      <c r="C275" t="s">
        <v>465</v>
      </c>
    </row>
    <row r="277" spans="2:3" ht="15.75">
      <c r="B277" t="s">
        <v>466</v>
      </c>
      <c r="C277" t="s">
        <v>467</v>
      </c>
    </row>
    <row r="278" ht="15.75">
      <c r="C278" t="s">
        <v>453</v>
      </c>
    </row>
    <row r="279" spans="2:3" ht="15.75">
      <c r="B279" t="s">
        <v>468</v>
      </c>
      <c r="C279" t="s">
        <v>469</v>
      </c>
    </row>
    <row r="280" ht="15.75">
      <c r="C280" t="s">
        <v>456</v>
      </c>
    </row>
    <row r="281" ht="15.75">
      <c r="C281" t="s">
        <v>457</v>
      </c>
    </row>
    <row r="282" ht="15.75">
      <c r="C282" t="s">
        <v>470</v>
      </c>
    </row>
    <row r="283" ht="15.75">
      <c r="C283" t="s">
        <v>458</v>
      </c>
    </row>
    <row r="284" ht="15.75">
      <c r="C284" t="s">
        <v>471</v>
      </c>
    </row>
    <row r="285" ht="15.75">
      <c r="C285" t="s">
        <v>460</v>
      </c>
    </row>
    <row r="286" ht="15.75">
      <c r="C286" t="s">
        <v>472</v>
      </c>
    </row>
    <row r="287" ht="15.75">
      <c r="C287" t="s">
        <v>453</v>
      </c>
    </row>
    <row r="288" ht="15.75">
      <c r="C288" t="s">
        <v>461</v>
      </c>
    </row>
    <row r="289" ht="15.75">
      <c r="C289" t="s">
        <v>473</v>
      </c>
    </row>
    <row r="290" ht="15.75">
      <c r="C290" t="s">
        <v>474</v>
      </c>
    </row>
    <row r="291" ht="15.75">
      <c r="C291" t="s">
        <v>475</v>
      </c>
    </row>
    <row r="292" spans="2:3" ht="15.75">
      <c r="B292" t="s">
        <v>476</v>
      </c>
      <c r="C292" t="s">
        <v>17</v>
      </c>
    </row>
    <row r="295" spans="2:3" ht="15.75">
      <c r="B295" t="s">
        <v>477</v>
      </c>
      <c r="C295" t="s">
        <v>442</v>
      </c>
    </row>
    <row r="296" ht="15.75">
      <c r="C296" t="s">
        <v>443</v>
      </c>
    </row>
    <row r="297" ht="15.75">
      <c r="C297" t="s">
        <v>478</v>
      </c>
    </row>
    <row r="298" ht="15.75">
      <c r="C298" t="s">
        <v>364</v>
      </c>
    </row>
    <row r="299" ht="15.75">
      <c r="C299" t="s">
        <v>479</v>
      </c>
    </row>
    <row r="300" ht="15.75">
      <c r="C300" t="s">
        <v>480</v>
      </c>
    </row>
    <row r="301" ht="15.75">
      <c r="C301" t="s">
        <v>440</v>
      </c>
    </row>
    <row r="302" ht="15.75">
      <c r="C302" t="s">
        <v>11</v>
      </c>
    </row>
    <row r="305" spans="2:3" ht="15.75">
      <c r="B305" t="s">
        <v>481</v>
      </c>
      <c r="C305" t="s">
        <v>482</v>
      </c>
    </row>
    <row r="306" ht="15.75">
      <c r="C306" t="s">
        <v>483</v>
      </c>
    </row>
    <row r="307" ht="15.75">
      <c r="C307" t="s">
        <v>442</v>
      </c>
    </row>
    <row r="308" ht="15.75">
      <c r="C308" t="s">
        <v>484</v>
      </c>
    </row>
    <row r="309" ht="15.75">
      <c r="C309" t="s">
        <v>485</v>
      </c>
    </row>
    <row r="310" ht="15.75">
      <c r="C310" t="s">
        <v>17</v>
      </c>
    </row>
    <row r="312" spans="2:3" ht="15.75">
      <c r="B312" t="s">
        <v>486</v>
      </c>
      <c r="C312" t="s">
        <v>473</v>
      </c>
    </row>
    <row r="313" ht="15.75">
      <c r="C313" t="s">
        <v>474</v>
      </c>
    </row>
    <row r="314" ht="15.75">
      <c r="C314" t="s">
        <v>475</v>
      </c>
    </row>
    <row r="315" ht="15.75">
      <c r="C315" t="s">
        <v>487</v>
      </c>
    </row>
    <row r="317" spans="2:3" ht="15.75">
      <c r="B317" t="s">
        <v>488</v>
      </c>
      <c r="C317" t="s">
        <v>489</v>
      </c>
    </row>
    <row r="318" spans="2:3" ht="15.75">
      <c r="B318" t="s">
        <v>490</v>
      </c>
      <c r="C318" t="s">
        <v>491</v>
      </c>
    </row>
    <row r="319" ht="15.75">
      <c r="C319" t="s">
        <v>492</v>
      </c>
    </row>
    <row r="320" spans="2:3" ht="15.75">
      <c r="B320" t="s">
        <v>493</v>
      </c>
      <c r="C320" t="s">
        <v>494</v>
      </c>
    </row>
    <row r="321" ht="15.75">
      <c r="C321" t="s">
        <v>495</v>
      </c>
    </row>
    <row r="322" ht="15.75">
      <c r="C322" t="s">
        <v>496</v>
      </c>
    </row>
    <row r="323" ht="15.75">
      <c r="C323" t="s">
        <v>497</v>
      </c>
    </row>
    <row r="325" spans="2:3" ht="15.75">
      <c r="B325" t="s">
        <v>498</v>
      </c>
      <c r="C325" t="s">
        <v>357</v>
      </c>
    </row>
    <row r="326" ht="15.75">
      <c r="C326" t="s">
        <v>499</v>
      </c>
    </row>
    <row r="327" spans="2:3" ht="15.75">
      <c r="B327" t="s">
        <v>500</v>
      </c>
      <c r="C327" t="s">
        <v>359</v>
      </c>
    </row>
    <row r="328" ht="15.75">
      <c r="C328" t="s">
        <v>501</v>
      </c>
    </row>
    <row r="329" ht="15.75">
      <c r="C329" t="s">
        <v>502</v>
      </c>
    </row>
    <row r="330" ht="15.75">
      <c r="C330" t="s">
        <v>503</v>
      </c>
    </row>
    <row r="331" ht="15.75">
      <c r="C331" t="s">
        <v>504</v>
      </c>
    </row>
    <row r="332" ht="15.75">
      <c r="C332" t="s">
        <v>364</v>
      </c>
    </row>
    <row r="333" ht="15.75">
      <c r="C333" t="s">
        <v>505</v>
      </c>
    </row>
    <row r="334" ht="15.75">
      <c r="C334" t="s">
        <v>506</v>
      </c>
    </row>
    <row r="335" ht="15.75">
      <c r="C335" t="s">
        <v>507</v>
      </c>
    </row>
    <row r="336" ht="15.75">
      <c r="C336" t="s">
        <v>508</v>
      </c>
    </row>
    <row r="337" ht="15.75">
      <c r="C337" t="s">
        <v>509</v>
      </c>
    </row>
    <row r="339" spans="2:3" ht="15.75">
      <c r="B339" t="s">
        <v>510</v>
      </c>
      <c r="C339" t="s">
        <v>511</v>
      </c>
    </row>
    <row r="340" ht="15.75">
      <c r="C340" t="s">
        <v>11</v>
      </c>
    </row>
    <row r="342" spans="2:3" ht="15.75">
      <c r="B342" t="s">
        <v>512</v>
      </c>
      <c r="C342" t="s">
        <v>513</v>
      </c>
    </row>
    <row r="343" ht="15.75">
      <c r="C343" t="s">
        <v>131</v>
      </c>
    </row>
    <row r="344" ht="15.75">
      <c r="C344" t="s">
        <v>11</v>
      </c>
    </row>
    <row r="346" spans="2:3" ht="15.75">
      <c r="B346" t="s">
        <v>514</v>
      </c>
      <c r="C346" t="s">
        <v>357</v>
      </c>
    </row>
    <row r="347" ht="15.75">
      <c r="C347" t="s">
        <v>515</v>
      </c>
    </row>
    <row r="348" spans="2:3" ht="15.75">
      <c r="B348" t="s">
        <v>516</v>
      </c>
      <c r="C348" t="s">
        <v>359</v>
      </c>
    </row>
    <row r="349" ht="15.75">
      <c r="C349" t="s">
        <v>517</v>
      </c>
    </row>
    <row r="350" ht="15.75">
      <c r="C350" t="s">
        <v>361</v>
      </c>
    </row>
    <row r="351" ht="15.75">
      <c r="C351" t="s">
        <v>518</v>
      </c>
    </row>
    <row r="352" ht="15.75">
      <c r="C352" t="s">
        <v>519</v>
      </c>
    </row>
    <row r="353" ht="15.75">
      <c r="C353" t="s">
        <v>364</v>
      </c>
    </row>
    <row r="354" ht="15.75">
      <c r="C354" t="s">
        <v>365</v>
      </c>
    </row>
    <row r="355" ht="15.75">
      <c r="C355" t="s">
        <v>366</v>
      </c>
    </row>
    <row r="356" ht="15.75">
      <c r="C356" t="s">
        <v>520</v>
      </c>
    </row>
    <row r="360" spans="2:3" ht="15.75">
      <c r="B360" t="s">
        <v>521</v>
      </c>
      <c r="C360" t="s">
        <v>364</v>
      </c>
    </row>
    <row r="361" ht="15.75">
      <c r="C361" t="s">
        <v>522</v>
      </c>
    </row>
    <row r="362" ht="15.75">
      <c r="C362" t="s">
        <v>523</v>
      </c>
    </row>
    <row r="363" ht="15.75">
      <c r="C363" t="s">
        <v>524</v>
      </c>
    </row>
    <row r="364" ht="15.75">
      <c r="C364" t="s">
        <v>351</v>
      </c>
    </row>
  </sheetData>
  <printOptions/>
  <pageMargins left="0.75" right="0.5" top="0.75" bottom="0.55" header="0.5" footer="0.5"/>
  <pageSetup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47"/>
  <sheetViews>
    <sheetView showGridLines="0" workbookViewId="0" topLeftCell="B9">
      <selection activeCell="D26" sqref="D26"/>
    </sheetView>
  </sheetViews>
  <sheetFormatPr defaultColWidth="9.796875" defaultRowHeight="15"/>
  <cols>
    <col min="1" max="3" width="9.69921875" style="36" customWidth="1"/>
    <col min="4" max="4" width="15.19921875" style="36" customWidth="1"/>
    <col min="5" max="5" width="10.59765625" style="36" bestFit="1" customWidth="1"/>
    <col min="6" max="16" width="11.59765625" style="36" customWidth="1"/>
    <col min="17" max="16384" width="9.69921875" style="36" customWidth="1"/>
  </cols>
  <sheetData>
    <row r="10" ht="15.75">
      <c r="C10" s="35" t="s">
        <v>706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127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623</v>
      </c>
    </row>
    <row r="22" spans="3:16" ht="15">
      <c r="C22" s="36" t="s">
        <v>624</v>
      </c>
      <c r="F22" s="43">
        <f>SUM(G22:P22)</f>
        <v>3368.479339836652</v>
      </c>
      <c r="G22" s="43">
        <f>GOLFNOI</f>
        <v>0</v>
      </c>
      <c r="H22" s="43">
        <f>I!H51</f>
        <v>0</v>
      </c>
      <c r="I22" s="43">
        <f>I!I51</f>
        <v>-770.8438945562498</v>
      </c>
      <c r="J22" s="43">
        <f>I!J51</f>
        <v>-287.42407493382734</v>
      </c>
      <c r="K22" s="43">
        <f>I!K51</f>
        <v>19.856583306043376</v>
      </c>
      <c r="L22" s="43">
        <f>I!L51</f>
        <v>410.9058299933058</v>
      </c>
      <c r="M22" s="43">
        <f>I!M51</f>
        <v>955.1484623336105</v>
      </c>
      <c r="N22" s="43">
        <f>I!N51</f>
        <v>983.8029162036196</v>
      </c>
      <c r="O22" s="43">
        <f>I!O51</f>
        <v>1013.3170036897291</v>
      </c>
      <c r="P22" s="43">
        <f>I!P51</f>
        <v>1043.7165138004207</v>
      </c>
    </row>
    <row r="23" spans="3:16" ht="18">
      <c r="C23" s="36" t="s">
        <v>671</v>
      </c>
      <c r="E23" s="56">
        <v>0.1</v>
      </c>
      <c r="F23" s="43">
        <f>SUM(G23:P23)</f>
        <v>10437.165138004206</v>
      </c>
      <c r="P23" s="43">
        <f>P22/GOLFCAPRATE</f>
        <v>10437.165138004206</v>
      </c>
    </row>
    <row r="24" spans="3:16" ht="15">
      <c r="C24" s="36" t="s">
        <v>593</v>
      </c>
      <c r="F24" s="43">
        <f>SUM(G24:P24)</f>
        <v>14314.75403355514</v>
      </c>
      <c r="G24" s="43">
        <f>H!G29</f>
        <v>0</v>
      </c>
      <c r="H24" s="43">
        <f>H!H29</f>
        <v>0</v>
      </c>
      <c r="I24" s="43">
        <f>H!I29</f>
        <v>2652.25</v>
      </c>
      <c r="J24" s="43">
        <f>H!J29</f>
        <v>2950.3629</v>
      </c>
      <c r="K24" s="43">
        <f>H!K29</f>
        <v>2473.86836438</v>
      </c>
      <c r="L24" s="43">
        <f>H!L29</f>
        <v>2764.8686672055</v>
      </c>
      <c r="M24" s="43">
        <f>H!M29</f>
        <v>2874.680903893568</v>
      </c>
      <c r="N24" s="43">
        <f>H!N29</f>
        <v>193.70513380441707</v>
      </c>
      <c r="O24" s="43">
        <f>H!O29</f>
        <v>199.51628781854959</v>
      </c>
      <c r="P24" s="43">
        <f>H!P29</f>
        <v>205.5017764531061</v>
      </c>
    </row>
    <row r="25" spans="6:16" ht="15">
      <c r="F25" s="44" t="s">
        <v>560</v>
      </c>
      <c r="G25" s="44" t="s">
        <v>560</v>
      </c>
      <c r="H25" s="44" t="s">
        <v>560</v>
      </c>
      <c r="I25" s="44" t="s">
        <v>560</v>
      </c>
      <c r="J25" s="44" t="s">
        <v>560</v>
      </c>
      <c r="K25" s="44" t="s">
        <v>560</v>
      </c>
      <c r="L25" s="44" t="s">
        <v>560</v>
      </c>
      <c r="M25" s="44" t="s">
        <v>560</v>
      </c>
      <c r="N25" s="44" t="s">
        <v>560</v>
      </c>
      <c r="O25" s="44" t="s">
        <v>560</v>
      </c>
      <c r="P25" s="44" t="s">
        <v>560</v>
      </c>
    </row>
    <row r="26" spans="3:16" ht="15">
      <c r="C26" s="36" t="s">
        <v>625</v>
      </c>
      <c r="F26" s="43">
        <f>SUM(G26:P26)</f>
        <v>28120.398511396</v>
      </c>
      <c r="G26" s="43">
        <f aca="true" t="shared" si="1" ref="G26:P26">G22+G23+G24</f>
        <v>0</v>
      </c>
      <c r="H26" s="43">
        <f t="shared" si="1"/>
        <v>0</v>
      </c>
      <c r="I26" s="43">
        <f t="shared" si="1"/>
        <v>1881.4061054437502</v>
      </c>
      <c r="J26" s="43">
        <f t="shared" si="1"/>
        <v>2662.9388250661727</v>
      </c>
      <c r="K26" s="43">
        <f t="shared" si="1"/>
        <v>2493.7249476860434</v>
      </c>
      <c r="L26" s="43">
        <f t="shared" si="1"/>
        <v>3175.774497198806</v>
      </c>
      <c r="M26" s="43">
        <f t="shared" si="1"/>
        <v>3829.8293662271785</v>
      </c>
      <c r="N26" s="43">
        <f t="shared" si="1"/>
        <v>1177.5080500080367</v>
      </c>
      <c r="O26" s="43">
        <f t="shared" si="1"/>
        <v>1212.8332915082788</v>
      </c>
      <c r="P26" s="43">
        <f t="shared" si="1"/>
        <v>11686.383428257732</v>
      </c>
    </row>
    <row r="29" ht="15">
      <c r="C29" s="58" t="s">
        <v>626</v>
      </c>
    </row>
    <row r="30" spans="3:5" ht="15">
      <c r="C30" s="58" t="s">
        <v>575</v>
      </c>
      <c r="E30" s="70" t="s">
        <v>673</v>
      </c>
    </row>
    <row r="31" spans="3:16" ht="15">
      <c r="C31" s="36" t="s">
        <v>627</v>
      </c>
      <c r="E31" s="43">
        <v>8000</v>
      </c>
      <c r="F31" s="43">
        <f>SUM(G31:P31)</f>
        <v>8363.599999999999</v>
      </c>
      <c r="G31" s="43">
        <v>0</v>
      </c>
      <c r="H31" s="43">
        <f>$E$31*0.5*H19</f>
        <v>4120</v>
      </c>
      <c r="I31" s="43">
        <f>$E$31*0.5*I19</f>
        <v>4243.599999999999</v>
      </c>
      <c r="J31" s="43">
        <v>0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</row>
    <row r="32" spans="3:9" ht="15">
      <c r="C32" s="36" t="s">
        <v>682</v>
      </c>
      <c r="E32" s="43">
        <v>500</v>
      </c>
      <c r="F32" s="43">
        <f>SUM(G32:P32)</f>
        <v>530.4499999999999</v>
      </c>
      <c r="I32" s="43">
        <f>E32*I19</f>
        <v>530.4499999999999</v>
      </c>
    </row>
    <row r="33" spans="3:16" ht="15">
      <c r="C33" s="36" t="s">
        <v>628</v>
      </c>
      <c r="E33" s="43">
        <v>3500</v>
      </c>
      <c r="F33" s="43">
        <f>SUM(G33:P33)</f>
        <v>3659.075</v>
      </c>
      <c r="G33" s="43">
        <v>0</v>
      </c>
      <c r="H33" s="43">
        <f>$E$33*0.5*H19</f>
        <v>1802.5</v>
      </c>
      <c r="I33" s="43">
        <f>$E$33*0.5*I19</f>
        <v>1856.5749999999998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</row>
    <row r="34" spans="3:16" ht="15">
      <c r="C34" s="36" t="s">
        <v>537</v>
      </c>
      <c r="E34" s="56">
        <v>0.2</v>
      </c>
      <c r="F34" s="43">
        <f>SUM(G34:P34)</f>
        <v>2510.625</v>
      </c>
      <c r="G34" s="43">
        <f aca="true" t="shared" si="2" ref="G34:P34">$E$34*SUM(G31:G33)</f>
        <v>0</v>
      </c>
      <c r="H34" s="43">
        <f t="shared" si="2"/>
        <v>1184.5</v>
      </c>
      <c r="I34" s="43">
        <f t="shared" si="2"/>
        <v>1326.125</v>
      </c>
      <c r="J34" s="43">
        <f t="shared" si="2"/>
        <v>0</v>
      </c>
      <c r="K34" s="43">
        <f t="shared" si="2"/>
        <v>0</v>
      </c>
      <c r="L34" s="43">
        <f t="shared" si="2"/>
        <v>0</v>
      </c>
      <c r="M34" s="43">
        <f t="shared" si="2"/>
        <v>0</v>
      </c>
      <c r="N34" s="43">
        <f t="shared" si="2"/>
        <v>0</v>
      </c>
      <c r="O34" s="43">
        <f t="shared" si="2"/>
        <v>0</v>
      </c>
      <c r="P34" s="43">
        <f t="shared" si="2"/>
        <v>0</v>
      </c>
    </row>
    <row r="35" spans="3:16" ht="15">
      <c r="C35" s="36" t="s">
        <v>538</v>
      </c>
      <c r="E35" s="56">
        <v>0.05</v>
      </c>
      <c r="F35" s="43">
        <f>SUM(G35:P35)</f>
        <v>627.65625</v>
      </c>
      <c r="G35" s="43">
        <f aca="true" t="shared" si="3" ref="G35:P35">$E$35*SUM(G31:G33)</f>
        <v>0</v>
      </c>
      <c r="H35" s="43">
        <f t="shared" si="3"/>
        <v>296.125</v>
      </c>
      <c r="I35" s="43">
        <f t="shared" si="3"/>
        <v>331.53125</v>
      </c>
      <c r="J35" s="43">
        <f t="shared" si="3"/>
        <v>0</v>
      </c>
      <c r="K35" s="43">
        <f t="shared" si="3"/>
        <v>0</v>
      </c>
      <c r="L35" s="43">
        <f t="shared" si="3"/>
        <v>0</v>
      </c>
      <c r="M35" s="43">
        <f t="shared" si="3"/>
        <v>0</v>
      </c>
      <c r="N35" s="43">
        <f t="shared" si="3"/>
        <v>0</v>
      </c>
      <c r="O35" s="43">
        <f t="shared" si="3"/>
        <v>0</v>
      </c>
      <c r="P35" s="43">
        <f t="shared" si="3"/>
        <v>0</v>
      </c>
    </row>
    <row r="36" spans="6:16" ht="15">
      <c r="F36" s="44" t="s">
        <v>560</v>
      </c>
      <c r="G36" s="44" t="s">
        <v>560</v>
      </c>
      <c r="H36" s="44" t="s">
        <v>560</v>
      </c>
      <c r="I36" s="44" t="s">
        <v>560</v>
      </c>
      <c r="J36" s="44" t="s">
        <v>560</v>
      </c>
      <c r="K36" s="44" t="s">
        <v>560</v>
      </c>
      <c r="L36" s="44" t="s">
        <v>560</v>
      </c>
      <c r="M36" s="44" t="s">
        <v>560</v>
      </c>
      <c r="N36" s="44" t="s">
        <v>560</v>
      </c>
      <c r="O36" s="44" t="s">
        <v>560</v>
      </c>
      <c r="P36" s="44" t="s">
        <v>560</v>
      </c>
    </row>
    <row r="37" spans="3:16" ht="15">
      <c r="C37" s="36" t="s">
        <v>629</v>
      </c>
      <c r="F37" s="43">
        <f>SUM(G37:P37)</f>
        <v>15691.40625</v>
      </c>
      <c r="G37" s="43">
        <f aca="true" t="shared" si="4" ref="G37:P37">SUM(G31:G35)</f>
        <v>0</v>
      </c>
      <c r="H37" s="43">
        <f t="shared" si="4"/>
        <v>7403.125</v>
      </c>
      <c r="I37" s="43">
        <f t="shared" si="4"/>
        <v>8288.28125</v>
      </c>
      <c r="J37" s="43">
        <f t="shared" si="4"/>
        <v>0</v>
      </c>
      <c r="K37" s="43">
        <f t="shared" si="4"/>
        <v>0</v>
      </c>
      <c r="L37" s="43">
        <f t="shared" si="4"/>
        <v>0</v>
      </c>
      <c r="M37" s="43">
        <f t="shared" si="4"/>
        <v>0</v>
      </c>
      <c r="N37" s="43">
        <f t="shared" si="4"/>
        <v>0</v>
      </c>
      <c r="O37" s="43">
        <f t="shared" si="4"/>
        <v>0</v>
      </c>
      <c r="P37" s="43">
        <f t="shared" si="4"/>
        <v>0</v>
      </c>
    </row>
    <row r="38" spans="6:16" ht="15">
      <c r="F38" s="44" t="s">
        <v>560</v>
      </c>
      <c r="G38" s="44" t="s">
        <v>560</v>
      </c>
      <c r="H38" s="44" t="s">
        <v>560</v>
      </c>
      <c r="I38" s="44" t="s">
        <v>560</v>
      </c>
      <c r="J38" s="44" t="s">
        <v>560</v>
      </c>
      <c r="K38" s="44" t="s">
        <v>560</v>
      </c>
      <c r="L38" s="44" t="s">
        <v>560</v>
      </c>
      <c r="M38" s="44" t="s">
        <v>560</v>
      </c>
      <c r="N38" s="44" t="s">
        <v>560</v>
      </c>
      <c r="O38" s="44" t="s">
        <v>560</v>
      </c>
      <c r="P38" s="44" t="s">
        <v>560</v>
      </c>
    </row>
    <row r="39" spans="3:16" ht="15">
      <c r="C39" s="36" t="s">
        <v>563</v>
      </c>
      <c r="F39" s="43">
        <f>SUM(G39:P39)</f>
        <v>12428.992261395997</v>
      </c>
      <c r="G39" s="43">
        <f aca="true" t="shared" si="5" ref="G39:P39">G26-G37</f>
        <v>0</v>
      </c>
      <c r="H39" s="43">
        <f t="shared" si="5"/>
        <v>-7403.125</v>
      </c>
      <c r="I39" s="43">
        <f t="shared" si="5"/>
        <v>-6406.87514455625</v>
      </c>
      <c r="J39" s="43">
        <f t="shared" si="5"/>
        <v>2662.9388250661727</v>
      </c>
      <c r="K39" s="43">
        <f t="shared" si="5"/>
        <v>2493.7249476860434</v>
      </c>
      <c r="L39" s="43">
        <f t="shared" si="5"/>
        <v>3175.774497198806</v>
      </c>
      <c r="M39" s="43">
        <f t="shared" si="5"/>
        <v>3829.8293662271785</v>
      </c>
      <c r="N39" s="43">
        <f t="shared" si="5"/>
        <v>1177.5080500080367</v>
      </c>
      <c r="O39" s="43">
        <f t="shared" si="5"/>
        <v>1212.8332915082788</v>
      </c>
      <c r="P39" s="43">
        <f t="shared" si="5"/>
        <v>11686.383428257732</v>
      </c>
    </row>
    <row r="40" spans="3:16" ht="15">
      <c r="C40" s="36" t="s">
        <v>564</v>
      </c>
      <c r="G40" s="43">
        <f>G39</f>
        <v>0</v>
      </c>
      <c r="H40" s="43">
        <f aca="true" t="shared" si="6" ref="H40:P40">G40+H39</f>
        <v>-7403.125</v>
      </c>
      <c r="I40" s="43">
        <f t="shared" si="6"/>
        <v>-13810.00014455625</v>
      </c>
      <c r="J40" s="43">
        <f t="shared" si="6"/>
        <v>-11147.061319490078</v>
      </c>
      <c r="K40" s="43">
        <f t="shared" si="6"/>
        <v>-8653.336371804035</v>
      </c>
      <c r="L40" s="43">
        <f t="shared" si="6"/>
        <v>-5477.561874605229</v>
      </c>
      <c r="M40" s="43">
        <f t="shared" si="6"/>
        <v>-1647.7325083780502</v>
      </c>
      <c r="N40" s="43">
        <f t="shared" si="6"/>
        <v>-470.2244583700135</v>
      </c>
      <c r="O40" s="43">
        <f t="shared" si="6"/>
        <v>742.6088331382653</v>
      </c>
      <c r="P40" s="43">
        <f t="shared" si="6"/>
        <v>12428.992261395997</v>
      </c>
    </row>
    <row r="43" spans="2:6" ht="15">
      <c r="B43" s="36">
        <v>0.5</v>
      </c>
      <c r="C43" s="45"/>
      <c r="D43" s="46"/>
      <c r="E43" s="47"/>
      <c r="F43" s="40" t="b">
        <f>ISERR(E43)</f>
        <v>0</v>
      </c>
    </row>
    <row r="44" spans="3:5" ht="15">
      <c r="C44" s="48" t="s">
        <v>566</v>
      </c>
      <c r="D44" s="49">
        <f>C!D41</f>
        <v>0.12</v>
      </c>
      <c r="E44" s="50">
        <f>NPV(D44,G39:P39)</f>
        <v>662.3439632649369</v>
      </c>
    </row>
    <row r="47" ht="18">
      <c r="C47" s="67" t="s">
        <v>672</v>
      </c>
    </row>
  </sheetData>
  <printOptions/>
  <pageMargins left="0.75" right="0.5" top="0.75" bottom="0.55" header="0.5" footer="0.5"/>
  <pageSetup fitToHeight="1" fitToWidth="1" horizontalDpi="600" verticalDpi="600" orientation="landscape" scale="7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0:P65"/>
  <sheetViews>
    <sheetView showGridLines="0" workbookViewId="0" topLeftCell="B8">
      <selection activeCell="C14" sqref="C14"/>
    </sheetView>
  </sheetViews>
  <sheetFormatPr defaultColWidth="9.796875" defaultRowHeight="15"/>
  <cols>
    <col min="1" max="3" width="9.69921875" style="36" customWidth="1"/>
    <col min="4" max="4" width="16.59765625" style="36" customWidth="1"/>
    <col min="5" max="5" width="9.69921875" style="36" customWidth="1"/>
    <col min="6" max="16" width="11.59765625" style="36" customWidth="1"/>
    <col min="17" max="16384" width="9.69921875" style="36" customWidth="1"/>
  </cols>
  <sheetData>
    <row r="10" ht="15.75">
      <c r="C10" s="35" t="s">
        <v>707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137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630</v>
      </c>
    </row>
    <row r="22" spans="3:16" ht="15">
      <c r="C22" s="36" t="s">
        <v>631</v>
      </c>
      <c r="F22" s="59"/>
      <c r="G22" s="59">
        <v>0</v>
      </c>
      <c r="H22" s="59">
        <v>0</v>
      </c>
      <c r="I22" s="59">
        <v>150</v>
      </c>
      <c r="J22" s="59">
        <v>150</v>
      </c>
      <c r="K22" s="59">
        <v>150</v>
      </c>
      <c r="L22" s="59">
        <v>150</v>
      </c>
      <c r="M22" s="59">
        <v>150</v>
      </c>
      <c r="N22" s="59">
        <v>150</v>
      </c>
      <c r="O22" s="59">
        <v>150</v>
      </c>
      <c r="P22" s="59">
        <v>150</v>
      </c>
    </row>
    <row r="23" spans="3:16" ht="15">
      <c r="C23" s="36" t="s">
        <v>632</v>
      </c>
      <c r="F23" s="56"/>
      <c r="G23" s="56">
        <v>0</v>
      </c>
      <c r="H23" s="56">
        <v>0</v>
      </c>
      <c r="I23" s="56">
        <v>0.55</v>
      </c>
      <c r="J23" s="56">
        <v>0.65</v>
      </c>
      <c r="K23" s="56">
        <v>0.7</v>
      </c>
      <c r="L23" s="56">
        <v>0.7</v>
      </c>
      <c r="M23" s="56">
        <v>0.7</v>
      </c>
      <c r="N23" s="56">
        <v>0.7</v>
      </c>
      <c r="O23" s="56">
        <v>0.7</v>
      </c>
      <c r="P23" s="56">
        <v>0.7</v>
      </c>
    </row>
    <row r="24" spans="3:16" ht="15">
      <c r="C24" s="36" t="s">
        <v>633</v>
      </c>
      <c r="G24" s="59">
        <f aca="true" t="shared" si="1" ref="G24:P24">G22*G23*365</f>
        <v>0</v>
      </c>
      <c r="H24" s="59">
        <f t="shared" si="1"/>
        <v>0</v>
      </c>
      <c r="I24" s="59">
        <f t="shared" si="1"/>
        <v>30112.5</v>
      </c>
      <c r="J24" s="59">
        <f t="shared" si="1"/>
        <v>35587.5</v>
      </c>
      <c r="K24" s="59">
        <f t="shared" si="1"/>
        <v>38325</v>
      </c>
      <c r="L24" s="59">
        <f t="shared" si="1"/>
        <v>38325</v>
      </c>
      <c r="M24" s="59">
        <f t="shared" si="1"/>
        <v>38325</v>
      </c>
      <c r="N24" s="59">
        <f t="shared" si="1"/>
        <v>38325</v>
      </c>
      <c r="O24" s="59">
        <f t="shared" si="1"/>
        <v>38325</v>
      </c>
      <c r="P24" s="59">
        <f t="shared" si="1"/>
        <v>38325</v>
      </c>
    </row>
    <row r="25" spans="3:16" ht="15">
      <c r="C25" s="36" t="s">
        <v>674</v>
      </c>
      <c r="F25" s="68"/>
      <c r="G25" s="64">
        <v>0</v>
      </c>
      <c r="H25" s="64">
        <v>0</v>
      </c>
      <c r="I25" s="64">
        <v>200</v>
      </c>
      <c r="J25" s="64">
        <v>205</v>
      </c>
      <c r="K25" s="64">
        <v>210</v>
      </c>
      <c r="L25" s="64">
        <v>220</v>
      </c>
      <c r="M25" s="64">
        <v>230</v>
      </c>
      <c r="N25" s="64">
        <v>230</v>
      </c>
      <c r="O25" s="64">
        <v>230</v>
      </c>
      <c r="P25" s="64">
        <v>230</v>
      </c>
    </row>
    <row r="27" ht="15">
      <c r="C27" s="58" t="s">
        <v>606</v>
      </c>
    </row>
    <row r="28" spans="3:16" ht="15">
      <c r="C28" s="36" t="s">
        <v>634</v>
      </c>
      <c r="E28" s="73">
        <v>0.553</v>
      </c>
      <c r="F28" s="43">
        <f>SUM(G28:P28)</f>
        <v>77227.80155375868</v>
      </c>
      <c r="G28" s="43">
        <f>(+G24*G25*G17)/1000</f>
        <v>0</v>
      </c>
      <c r="H28" s="43">
        <f>(+H24*H25*H17)/1000</f>
        <v>0</v>
      </c>
      <c r="I28" s="43">
        <f>(+I24*I25*I19)/1000</f>
        <v>6389.27025</v>
      </c>
      <c r="J28" s="43">
        <f aca="true" t="shared" si="2" ref="J28:P28">(+J24*J25*J19)/1000</f>
        <v>7971.9215330625</v>
      </c>
      <c r="K28" s="43">
        <f t="shared" si="2"/>
        <v>9058.3762800825</v>
      </c>
      <c r="L28" s="43">
        <f t="shared" si="2"/>
        <v>9774.41935746045</v>
      </c>
      <c r="M28" s="43">
        <f t="shared" si="2"/>
        <v>10525.272480829004</v>
      </c>
      <c r="N28" s="43">
        <f t="shared" si="2"/>
        <v>10841.030655253875</v>
      </c>
      <c r="O28" s="43">
        <f t="shared" si="2"/>
        <v>11166.261574911492</v>
      </c>
      <c r="P28" s="43">
        <f t="shared" si="2"/>
        <v>11501.249422158837</v>
      </c>
    </row>
    <row r="29" spans="3:16" ht="15">
      <c r="C29" s="36" t="s">
        <v>690</v>
      </c>
      <c r="E29" s="61">
        <f>0.262+0.064</f>
        <v>0.326</v>
      </c>
      <c r="F29" s="43">
        <f>SUM(G29:P29)</f>
        <v>45526.69675682698</v>
      </c>
      <c r="G29" s="43">
        <f>(+G$24*$E29*G$17)/1000</f>
        <v>0</v>
      </c>
      <c r="H29" s="43">
        <f>(+H24*$E29*H17)/1000</f>
        <v>0</v>
      </c>
      <c r="I29" s="43">
        <f>I$33*$E29</f>
        <v>3766.549912296564</v>
      </c>
      <c r="J29" s="43">
        <f aca="true" t="shared" si="3" ref="J29:P29">J$33*$E29</f>
        <v>4699.541446253843</v>
      </c>
      <c r="K29" s="43">
        <f t="shared" si="3"/>
        <v>5340.019289885886</v>
      </c>
      <c r="L29" s="43">
        <f t="shared" si="3"/>
        <v>5762.135100419722</v>
      </c>
      <c r="M29" s="43">
        <f t="shared" si="3"/>
        <v>6204.771842224693</v>
      </c>
      <c r="N29" s="43">
        <f t="shared" si="3"/>
        <v>6390.914997491434</v>
      </c>
      <c r="O29" s="43">
        <f t="shared" si="3"/>
        <v>6582.642447416178</v>
      </c>
      <c r="P29" s="43">
        <f t="shared" si="3"/>
        <v>6780.121720838663</v>
      </c>
    </row>
    <row r="30" spans="3:16" ht="15">
      <c r="C30" s="36" t="s">
        <v>689</v>
      </c>
      <c r="E30" s="61">
        <v>0.01</v>
      </c>
      <c r="F30" s="43">
        <f>SUM(G30:P30)</f>
        <v>1396.5244403934657</v>
      </c>
      <c r="G30" s="43">
        <f>(+G$24*$E30*G$17)/1000</f>
        <v>0</v>
      </c>
      <c r="H30" s="43">
        <f>(+H$24*$E30*H$17)/1000</f>
        <v>0</v>
      </c>
      <c r="I30" s="43">
        <f aca="true" t="shared" si="4" ref="I30:P31">I$33*$E30</f>
        <v>115.53834086799276</v>
      </c>
      <c r="J30" s="43">
        <f t="shared" si="4"/>
        <v>144.15771307527123</v>
      </c>
      <c r="K30" s="43">
        <f t="shared" si="4"/>
        <v>163.80427269588606</v>
      </c>
      <c r="L30" s="43">
        <f t="shared" si="4"/>
        <v>176.75261044232278</v>
      </c>
      <c r="M30" s="43">
        <f t="shared" si="4"/>
        <v>190.3304246081194</v>
      </c>
      <c r="N30" s="43">
        <f t="shared" si="4"/>
        <v>196.040337346363</v>
      </c>
      <c r="O30" s="43">
        <f t="shared" si="4"/>
        <v>201.9215474667539</v>
      </c>
      <c r="P30" s="43">
        <f t="shared" si="4"/>
        <v>207.97919389075653</v>
      </c>
    </row>
    <row r="31" spans="3:16" ht="15">
      <c r="C31" s="36" t="s">
        <v>675</v>
      </c>
      <c r="E31" s="61">
        <f>0.084+0.027</f>
        <v>0.111</v>
      </c>
      <c r="F31" s="43">
        <f>SUM(G31:P31)</f>
        <v>15501.42128836747</v>
      </c>
      <c r="G31" s="43">
        <f>(+G$24*$E31*G$17)/1000</f>
        <v>0</v>
      </c>
      <c r="H31" s="43">
        <f>(+H$24*$E31*H$17)/1000</f>
        <v>0</v>
      </c>
      <c r="I31" s="43">
        <f t="shared" si="4"/>
        <v>1282.4755836347197</v>
      </c>
      <c r="J31" s="43">
        <f t="shared" si="4"/>
        <v>1600.1506151355109</v>
      </c>
      <c r="K31" s="43">
        <f t="shared" si="4"/>
        <v>1818.2274269243353</v>
      </c>
      <c r="L31" s="43">
        <f t="shared" si="4"/>
        <v>1961.9539759097827</v>
      </c>
      <c r="M31" s="43">
        <f t="shared" si="4"/>
        <v>2112.667713150125</v>
      </c>
      <c r="N31" s="43">
        <f t="shared" si="4"/>
        <v>2176.0477445446295</v>
      </c>
      <c r="O31" s="43">
        <f t="shared" si="4"/>
        <v>2241.3291768809686</v>
      </c>
      <c r="P31" s="43">
        <f t="shared" si="4"/>
        <v>2308.5690521873976</v>
      </c>
    </row>
    <row r="32" spans="6:16" ht="15">
      <c r="F32" s="44" t="s">
        <v>560</v>
      </c>
      <c r="G32" s="44" t="s">
        <v>560</v>
      </c>
      <c r="H32" s="44" t="s">
        <v>560</v>
      </c>
      <c r="I32" s="44" t="s">
        <v>560</v>
      </c>
      <c r="J32" s="44" t="s">
        <v>560</v>
      </c>
      <c r="K32" s="44" t="s">
        <v>560</v>
      </c>
      <c r="L32" s="44" t="s">
        <v>560</v>
      </c>
      <c r="M32" s="44" t="s">
        <v>560</v>
      </c>
      <c r="N32" s="44" t="s">
        <v>560</v>
      </c>
      <c r="O32" s="44" t="s">
        <v>560</v>
      </c>
      <c r="P32" s="44" t="s">
        <v>560</v>
      </c>
    </row>
    <row r="33" spans="3:16" ht="15">
      <c r="C33" s="36" t="s">
        <v>610</v>
      </c>
      <c r="E33" s="61">
        <v>1</v>
      </c>
      <c r="F33" s="43">
        <f>SUM(G33:P33)</f>
        <v>139652.44403934656</v>
      </c>
      <c r="G33" s="43">
        <f>SUM(G28:G31)</f>
        <v>0</v>
      </c>
      <c r="H33" s="43">
        <f>SUM(H28:H31)</f>
        <v>0</v>
      </c>
      <c r="I33" s="43">
        <f aca="true" t="shared" si="5" ref="I33:P33">I28/$E28</f>
        <v>11553.834086799276</v>
      </c>
      <c r="J33" s="43">
        <f t="shared" si="5"/>
        <v>14415.771307527124</v>
      </c>
      <c r="K33" s="43">
        <f t="shared" si="5"/>
        <v>16380.427269588607</v>
      </c>
      <c r="L33" s="43">
        <f t="shared" si="5"/>
        <v>17675.261044232277</v>
      </c>
      <c r="M33" s="43">
        <f t="shared" si="5"/>
        <v>19033.04246081194</v>
      </c>
      <c r="N33" s="43">
        <f t="shared" si="5"/>
        <v>19604.0337346363</v>
      </c>
      <c r="O33" s="43">
        <f t="shared" si="5"/>
        <v>20192.15474667539</v>
      </c>
      <c r="P33" s="43">
        <f t="shared" si="5"/>
        <v>20797.919389075654</v>
      </c>
    </row>
    <row r="35" ht="15">
      <c r="C35" s="58" t="s">
        <v>615</v>
      </c>
    </row>
    <row r="36" spans="3:5" ht="15">
      <c r="C36" s="58" t="s">
        <v>635</v>
      </c>
      <c r="E36" s="69" t="s">
        <v>691</v>
      </c>
    </row>
    <row r="37" spans="3:16" ht="15">
      <c r="C37" s="36" t="s">
        <v>636</v>
      </c>
      <c r="E37" s="61">
        <v>0.147</v>
      </c>
      <c r="F37" s="43">
        <f>SUM(G37:P37)</f>
        <v>12111.677712412016</v>
      </c>
      <c r="G37" s="43">
        <f>$E$37*G33</f>
        <v>0</v>
      </c>
      <c r="H37" s="43">
        <f>$E$37*H33</f>
        <v>0</v>
      </c>
      <c r="I37" s="43">
        <f>$E$37*I33</f>
        <v>1698.4136107594934</v>
      </c>
      <c r="J37" s="43">
        <f aca="true" t="shared" si="6" ref="J37:P37">$E$37*J28</f>
        <v>1171.8724653601876</v>
      </c>
      <c r="K37" s="43">
        <f t="shared" si="6"/>
        <v>1331.5813131721275</v>
      </c>
      <c r="L37" s="43">
        <f t="shared" si="6"/>
        <v>1436.8396455466861</v>
      </c>
      <c r="M37" s="43">
        <f t="shared" si="6"/>
        <v>1547.2150546818634</v>
      </c>
      <c r="N37" s="43">
        <f t="shared" si="6"/>
        <v>1593.6315063223196</v>
      </c>
      <c r="O37" s="43">
        <f t="shared" si="6"/>
        <v>1641.4404515119893</v>
      </c>
      <c r="P37" s="43">
        <f t="shared" si="6"/>
        <v>1690.683665057349</v>
      </c>
    </row>
    <row r="38" spans="3:16" ht="15">
      <c r="C38" s="36" t="s">
        <v>609</v>
      </c>
      <c r="E38" s="61">
        <f>0.209+0.031</f>
        <v>0.24</v>
      </c>
      <c r="F38" s="43">
        <f>SUM(G38:P38)</f>
        <v>33516.58656944317</v>
      </c>
      <c r="G38" s="43">
        <f>$E$38*G33</f>
        <v>0</v>
      </c>
      <c r="H38" s="43">
        <f aca="true" t="shared" si="7" ref="H38:P38">$E$38*H33</f>
        <v>0</v>
      </c>
      <c r="I38" s="43">
        <f t="shared" si="7"/>
        <v>2772.920180831826</v>
      </c>
      <c r="J38" s="43">
        <f t="shared" si="7"/>
        <v>3459.78511380651</v>
      </c>
      <c r="K38" s="43">
        <f t="shared" si="7"/>
        <v>3931.3025447012656</v>
      </c>
      <c r="L38" s="43">
        <f t="shared" si="7"/>
        <v>4242.062650615746</v>
      </c>
      <c r="M38" s="43">
        <f t="shared" si="7"/>
        <v>4567.930190594865</v>
      </c>
      <c r="N38" s="43">
        <f t="shared" si="7"/>
        <v>4704.968096312712</v>
      </c>
      <c r="O38" s="43">
        <f t="shared" si="7"/>
        <v>4846.117139202093</v>
      </c>
      <c r="P38" s="43">
        <f t="shared" si="7"/>
        <v>4991.500653378157</v>
      </c>
    </row>
    <row r="39" spans="3:16" ht="15">
      <c r="C39" s="36" t="s">
        <v>637</v>
      </c>
      <c r="E39" s="61">
        <v>0.007</v>
      </c>
      <c r="F39" s="43">
        <f>SUM(G39:P39)</f>
        <v>977.567108275426</v>
      </c>
      <c r="G39" s="43">
        <f>$E$39*G33</f>
        <v>0</v>
      </c>
      <c r="H39" s="43">
        <f aca="true" t="shared" si="8" ref="H39:P39">$E$39*H33</f>
        <v>0</v>
      </c>
      <c r="I39" s="43">
        <f t="shared" si="8"/>
        <v>80.87683860759493</v>
      </c>
      <c r="J39" s="43">
        <f t="shared" si="8"/>
        <v>100.91039915268988</v>
      </c>
      <c r="K39" s="43">
        <f t="shared" si="8"/>
        <v>114.66299088712024</v>
      </c>
      <c r="L39" s="43">
        <f t="shared" si="8"/>
        <v>123.72682730962593</v>
      </c>
      <c r="M39" s="43">
        <f t="shared" si="8"/>
        <v>133.2312972256836</v>
      </c>
      <c r="N39" s="43">
        <f t="shared" si="8"/>
        <v>137.2282361424541</v>
      </c>
      <c r="O39" s="43">
        <f t="shared" si="8"/>
        <v>141.34508322672775</v>
      </c>
      <c r="P39" s="43">
        <f t="shared" si="8"/>
        <v>145.58543572352957</v>
      </c>
    </row>
    <row r="40" spans="3:16" ht="15">
      <c r="C40" s="36" t="s">
        <v>638</v>
      </c>
      <c r="E40" s="61">
        <v>0.057</v>
      </c>
      <c r="F40" s="43">
        <f>SUM(G40:P40)</f>
        <v>7960.189310242755</v>
      </c>
      <c r="G40" s="43">
        <f>G33*$E$40</f>
        <v>0</v>
      </c>
      <c r="H40" s="43">
        <f aca="true" t="shared" si="9" ref="H40:P40">H33*$E$40</f>
        <v>0</v>
      </c>
      <c r="I40" s="43">
        <f t="shared" si="9"/>
        <v>658.5685429475587</v>
      </c>
      <c r="J40" s="43">
        <f t="shared" si="9"/>
        <v>821.6989645290461</v>
      </c>
      <c r="K40" s="43">
        <f t="shared" si="9"/>
        <v>933.6843543665506</v>
      </c>
      <c r="L40" s="43">
        <f t="shared" si="9"/>
        <v>1007.4898795212398</v>
      </c>
      <c r="M40" s="43">
        <f t="shared" si="9"/>
        <v>1084.8834202662806</v>
      </c>
      <c r="N40" s="43">
        <f t="shared" si="9"/>
        <v>1117.4299228742693</v>
      </c>
      <c r="O40" s="43">
        <f t="shared" si="9"/>
        <v>1150.9528205604972</v>
      </c>
      <c r="P40" s="43">
        <f t="shared" si="9"/>
        <v>1185.4814051773124</v>
      </c>
    </row>
    <row r="41" spans="6:16" ht="15">
      <c r="F41" s="44" t="s">
        <v>560</v>
      </c>
      <c r="G41" s="44" t="s">
        <v>560</v>
      </c>
      <c r="H41" s="44" t="s">
        <v>560</v>
      </c>
      <c r="I41" s="44" t="s">
        <v>560</v>
      </c>
      <c r="J41" s="44" t="s">
        <v>560</v>
      </c>
      <c r="K41" s="44" t="s">
        <v>560</v>
      </c>
      <c r="L41" s="44" t="s">
        <v>560</v>
      </c>
      <c r="M41" s="44" t="s">
        <v>560</v>
      </c>
      <c r="N41" s="44" t="s">
        <v>560</v>
      </c>
      <c r="O41" s="44" t="s">
        <v>560</v>
      </c>
      <c r="P41" s="44" t="s">
        <v>560</v>
      </c>
    </row>
    <row r="42" spans="3:16" ht="15">
      <c r="C42" s="36" t="s">
        <v>639</v>
      </c>
      <c r="F42" s="43">
        <f>SUM(G42:P42)</f>
        <v>46605.83139013061</v>
      </c>
      <c r="G42" s="43">
        <f aca="true" t="shared" si="10" ref="G42:P42">G37+G38+G39</f>
        <v>0</v>
      </c>
      <c r="H42" s="43">
        <f t="shared" si="10"/>
        <v>0</v>
      </c>
      <c r="I42" s="43">
        <f t="shared" si="10"/>
        <v>4552.210630198915</v>
      </c>
      <c r="J42" s="43">
        <f t="shared" si="10"/>
        <v>4732.567978319387</v>
      </c>
      <c r="K42" s="43">
        <f t="shared" si="10"/>
        <v>5377.546848760513</v>
      </c>
      <c r="L42" s="43">
        <f t="shared" si="10"/>
        <v>5802.629123472058</v>
      </c>
      <c r="M42" s="43">
        <f t="shared" si="10"/>
        <v>6248.376542502411</v>
      </c>
      <c r="N42" s="43">
        <f t="shared" si="10"/>
        <v>6435.827838777485</v>
      </c>
      <c r="O42" s="43">
        <f t="shared" si="10"/>
        <v>6628.902673940811</v>
      </c>
      <c r="P42" s="43">
        <f t="shared" si="10"/>
        <v>6827.769754159035</v>
      </c>
    </row>
    <row r="44" ht="15">
      <c r="C44" s="58" t="s">
        <v>640</v>
      </c>
    </row>
    <row r="45" spans="3:16" ht="15">
      <c r="C45" s="36" t="s">
        <v>641</v>
      </c>
      <c r="E45" s="61">
        <v>0.071</v>
      </c>
      <c r="F45" s="43">
        <f>SUM(G45:P45)</f>
        <v>9915.323526793605</v>
      </c>
      <c r="G45" s="43">
        <f aca="true" t="shared" si="11" ref="G45:P49">$E45*G$33</f>
        <v>0</v>
      </c>
      <c r="H45" s="43">
        <f t="shared" si="11"/>
        <v>0</v>
      </c>
      <c r="I45" s="43">
        <f t="shared" si="11"/>
        <v>820.3222201627485</v>
      </c>
      <c r="J45" s="43">
        <f t="shared" si="11"/>
        <v>1023.5197628344257</v>
      </c>
      <c r="K45" s="43">
        <f t="shared" si="11"/>
        <v>1163.010336140791</v>
      </c>
      <c r="L45" s="43">
        <f t="shared" si="11"/>
        <v>1254.9435341404915</v>
      </c>
      <c r="M45" s="43">
        <f t="shared" si="11"/>
        <v>1351.3460147176477</v>
      </c>
      <c r="N45" s="43">
        <f t="shared" si="11"/>
        <v>1391.8863951591773</v>
      </c>
      <c r="O45" s="43">
        <f t="shared" si="11"/>
        <v>1433.6429870139527</v>
      </c>
      <c r="P45" s="43">
        <f t="shared" si="11"/>
        <v>1476.6522766243713</v>
      </c>
    </row>
    <row r="46" spans="3:16" ht="15">
      <c r="C46" s="36" t="s">
        <v>692</v>
      </c>
      <c r="E46" s="61">
        <v>0.012</v>
      </c>
      <c r="F46" s="43">
        <f>SUM(G46:P46)</f>
        <v>1675.8293284721587</v>
      </c>
      <c r="G46" s="43">
        <f t="shared" si="11"/>
        <v>0</v>
      </c>
      <c r="H46" s="43">
        <f t="shared" si="11"/>
        <v>0</v>
      </c>
      <c r="I46" s="43">
        <f t="shared" si="11"/>
        <v>138.6460090415913</v>
      </c>
      <c r="J46" s="43">
        <f t="shared" si="11"/>
        <v>172.98925569032548</v>
      </c>
      <c r="K46" s="43">
        <f t="shared" si="11"/>
        <v>196.56512723506327</v>
      </c>
      <c r="L46" s="43">
        <f t="shared" si="11"/>
        <v>212.10313253078732</v>
      </c>
      <c r="M46" s="43">
        <f t="shared" si="11"/>
        <v>228.39650952974327</v>
      </c>
      <c r="N46" s="43">
        <f t="shared" si="11"/>
        <v>235.2484048156356</v>
      </c>
      <c r="O46" s="43">
        <f t="shared" si="11"/>
        <v>242.3058569601047</v>
      </c>
      <c r="P46" s="43">
        <f t="shared" si="11"/>
        <v>249.57503266890785</v>
      </c>
    </row>
    <row r="47" spans="3:16" ht="15">
      <c r="C47" s="36" t="s">
        <v>642</v>
      </c>
      <c r="E47" s="61">
        <v>0.051</v>
      </c>
      <c r="F47" s="43">
        <f>SUM(G47:P47)</f>
        <v>7122.274646006675</v>
      </c>
      <c r="G47" s="43">
        <f t="shared" si="11"/>
        <v>0</v>
      </c>
      <c r="H47" s="43">
        <f t="shared" si="11"/>
        <v>0</v>
      </c>
      <c r="I47" s="43">
        <f t="shared" si="11"/>
        <v>589.245538426763</v>
      </c>
      <c r="J47" s="43">
        <f t="shared" si="11"/>
        <v>735.2043366838833</v>
      </c>
      <c r="K47" s="43">
        <f t="shared" si="11"/>
        <v>835.4017907490189</v>
      </c>
      <c r="L47" s="43">
        <f t="shared" si="11"/>
        <v>901.4383132558461</v>
      </c>
      <c r="M47" s="43">
        <f t="shared" si="11"/>
        <v>970.6851655014088</v>
      </c>
      <c r="N47" s="43">
        <f t="shared" si="11"/>
        <v>999.8057204664512</v>
      </c>
      <c r="O47" s="43">
        <f t="shared" si="11"/>
        <v>1029.7998920804448</v>
      </c>
      <c r="P47" s="43">
        <f t="shared" si="11"/>
        <v>1060.6938888428583</v>
      </c>
    </row>
    <row r="48" spans="3:16" ht="15">
      <c r="C48" s="36" t="s">
        <v>643</v>
      </c>
      <c r="E48" s="61">
        <v>0.05</v>
      </c>
      <c r="F48" s="43">
        <f>SUM(G48:P48)</f>
        <v>6982.622201967328</v>
      </c>
      <c r="G48" s="43">
        <f t="shared" si="11"/>
        <v>0</v>
      </c>
      <c r="H48" s="43">
        <f t="shared" si="11"/>
        <v>0</v>
      </c>
      <c r="I48" s="43">
        <f t="shared" si="11"/>
        <v>577.6917043399638</v>
      </c>
      <c r="J48" s="43">
        <f t="shared" si="11"/>
        <v>720.7885653763562</v>
      </c>
      <c r="K48" s="43">
        <f t="shared" si="11"/>
        <v>819.0213634794304</v>
      </c>
      <c r="L48" s="43">
        <f t="shared" si="11"/>
        <v>883.7630522116139</v>
      </c>
      <c r="M48" s="43">
        <f t="shared" si="11"/>
        <v>951.652123040597</v>
      </c>
      <c r="N48" s="43">
        <f t="shared" si="11"/>
        <v>980.2016867318151</v>
      </c>
      <c r="O48" s="43">
        <f t="shared" si="11"/>
        <v>1009.6077373337696</v>
      </c>
      <c r="P48" s="43">
        <f t="shared" si="11"/>
        <v>1039.8959694537828</v>
      </c>
    </row>
    <row r="49" spans="3:16" ht="15">
      <c r="C49" s="36" t="s">
        <v>644</v>
      </c>
      <c r="E49" s="61">
        <v>0.038</v>
      </c>
      <c r="F49" s="43">
        <f>SUM(G49:P49)</f>
        <v>5306.79287349517</v>
      </c>
      <c r="G49" s="43">
        <f t="shared" si="11"/>
        <v>0</v>
      </c>
      <c r="H49" s="43">
        <f t="shared" si="11"/>
        <v>0</v>
      </c>
      <c r="I49" s="43">
        <f t="shared" si="11"/>
        <v>439.04569529837244</v>
      </c>
      <c r="J49" s="43">
        <f t="shared" si="11"/>
        <v>547.7993096860307</v>
      </c>
      <c r="K49" s="43">
        <f t="shared" si="11"/>
        <v>622.456236244367</v>
      </c>
      <c r="L49" s="43">
        <f t="shared" si="11"/>
        <v>671.6599196808265</v>
      </c>
      <c r="M49" s="43">
        <f t="shared" si="11"/>
        <v>723.2556135108537</v>
      </c>
      <c r="N49" s="43">
        <f t="shared" si="11"/>
        <v>744.9532819161794</v>
      </c>
      <c r="O49" s="43">
        <f t="shared" si="11"/>
        <v>767.3018803736649</v>
      </c>
      <c r="P49" s="43">
        <f t="shared" si="11"/>
        <v>790.3209367848748</v>
      </c>
    </row>
    <row r="50" spans="6:16" ht="15">
      <c r="F50" s="44" t="s">
        <v>560</v>
      </c>
      <c r="G50" s="44" t="s">
        <v>560</v>
      </c>
      <c r="H50" s="44" t="s">
        <v>560</v>
      </c>
      <c r="I50" s="44" t="s">
        <v>560</v>
      </c>
      <c r="J50" s="44" t="s">
        <v>560</v>
      </c>
      <c r="K50" s="44" t="s">
        <v>560</v>
      </c>
      <c r="L50" s="44" t="s">
        <v>560</v>
      </c>
      <c r="M50" s="44" t="s">
        <v>560</v>
      </c>
      <c r="N50" s="44" t="s">
        <v>560</v>
      </c>
      <c r="O50" s="44" t="s">
        <v>560</v>
      </c>
      <c r="P50" s="44" t="s">
        <v>560</v>
      </c>
    </row>
    <row r="51" spans="3:16" ht="15">
      <c r="C51" s="36" t="s">
        <v>645</v>
      </c>
      <c r="F51" s="43">
        <f>SUM(G51:P51)</f>
        <v>31002.84257673494</v>
      </c>
      <c r="G51" s="43">
        <f aca="true" t="shared" si="12" ref="G51:P51">SUM(G45:G49)</f>
        <v>0</v>
      </c>
      <c r="H51" s="43">
        <f t="shared" si="12"/>
        <v>0</v>
      </c>
      <c r="I51" s="43">
        <f t="shared" si="12"/>
        <v>2564.951167269439</v>
      </c>
      <c r="J51" s="43">
        <f t="shared" si="12"/>
        <v>3200.3012302710213</v>
      </c>
      <c r="K51" s="43">
        <f t="shared" si="12"/>
        <v>3636.4548538486706</v>
      </c>
      <c r="L51" s="43">
        <f t="shared" si="12"/>
        <v>3923.907951819565</v>
      </c>
      <c r="M51" s="43">
        <f t="shared" si="12"/>
        <v>4225.33542630025</v>
      </c>
      <c r="N51" s="43">
        <f t="shared" si="12"/>
        <v>4352.095489089259</v>
      </c>
      <c r="O51" s="43">
        <f t="shared" si="12"/>
        <v>4482.658353761936</v>
      </c>
      <c r="P51" s="43">
        <f t="shared" si="12"/>
        <v>4617.138104374795</v>
      </c>
    </row>
    <row r="52" spans="5:16" ht="15">
      <c r="E52" s="56"/>
      <c r="F52" s="43"/>
      <c r="G52" s="43"/>
      <c r="H52" s="43"/>
      <c r="I52" s="43"/>
      <c r="J52" s="43"/>
      <c r="K52" s="43"/>
      <c r="L52" s="43"/>
      <c r="M52" s="43"/>
      <c r="N52" s="43"/>
      <c r="O52" s="43"/>
      <c r="P52" s="43"/>
    </row>
    <row r="53" spans="3:16" ht="15">
      <c r="C53" s="58" t="s">
        <v>646</v>
      </c>
      <c r="E53" s="56"/>
      <c r="F53" s="43"/>
      <c r="G53" s="43"/>
      <c r="H53" s="43"/>
      <c r="I53" s="43"/>
      <c r="J53" s="43"/>
      <c r="K53" s="43"/>
      <c r="L53" s="43"/>
      <c r="M53" s="43"/>
      <c r="N53" s="43"/>
      <c r="O53" s="43"/>
      <c r="P53" s="43"/>
    </row>
    <row r="54" spans="3:16" ht="15">
      <c r="C54" s="36" t="s">
        <v>647</v>
      </c>
      <c r="E54" s="61">
        <v>0.014</v>
      </c>
      <c r="F54" s="43">
        <f>SUM(G54:P54)</f>
        <v>1955.134216550852</v>
      </c>
      <c r="G54" s="43">
        <f aca="true" t="shared" si="13" ref="G54:P56">$E54*G$33</f>
        <v>0</v>
      </c>
      <c r="H54" s="43">
        <f t="shared" si="13"/>
        <v>0</v>
      </c>
      <c r="I54" s="43">
        <f t="shared" si="13"/>
        <v>161.75367721518987</v>
      </c>
      <c r="J54" s="43">
        <f t="shared" si="13"/>
        <v>201.82079830537975</v>
      </c>
      <c r="K54" s="43">
        <f t="shared" si="13"/>
        <v>229.3259817742405</v>
      </c>
      <c r="L54" s="43">
        <f t="shared" si="13"/>
        <v>247.45365461925186</v>
      </c>
      <c r="M54" s="43">
        <f t="shared" si="13"/>
        <v>266.4625944513672</v>
      </c>
      <c r="N54" s="43">
        <f t="shared" si="13"/>
        <v>274.4564722849082</v>
      </c>
      <c r="O54" s="43">
        <f t="shared" si="13"/>
        <v>282.6901664534555</v>
      </c>
      <c r="P54" s="43">
        <f t="shared" si="13"/>
        <v>291.17087144705914</v>
      </c>
    </row>
    <row r="55" spans="3:16" ht="15">
      <c r="C55" s="36" t="s">
        <v>648</v>
      </c>
      <c r="E55" s="61">
        <v>0.025</v>
      </c>
      <c r="F55" s="43">
        <f>SUM(G55:P55)</f>
        <v>3491.311100983664</v>
      </c>
      <c r="G55" s="43">
        <f t="shared" si="13"/>
        <v>0</v>
      </c>
      <c r="H55" s="43">
        <f t="shared" si="13"/>
        <v>0</v>
      </c>
      <c r="I55" s="43">
        <f t="shared" si="13"/>
        <v>288.8458521699819</v>
      </c>
      <c r="J55" s="43">
        <f t="shared" si="13"/>
        <v>360.3942826881781</v>
      </c>
      <c r="K55" s="43">
        <f t="shared" si="13"/>
        <v>409.5106817397152</v>
      </c>
      <c r="L55" s="43">
        <f t="shared" si="13"/>
        <v>441.8815261058069</v>
      </c>
      <c r="M55" s="43">
        <f t="shared" si="13"/>
        <v>475.8260615202985</v>
      </c>
      <c r="N55" s="43">
        <f t="shared" si="13"/>
        <v>490.10084336590756</v>
      </c>
      <c r="O55" s="43">
        <f t="shared" si="13"/>
        <v>504.8038686668848</v>
      </c>
      <c r="P55" s="43">
        <f t="shared" si="13"/>
        <v>519.9479847268914</v>
      </c>
    </row>
    <row r="56" spans="3:16" ht="15">
      <c r="C56" s="36" t="s">
        <v>693</v>
      </c>
      <c r="E56" s="61">
        <v>0.03</v>
      </c>
      <c r="F56" s="43">
        <f>SUM(G56:P56)</f>
        <v>4189.573321180396</v>
      </c>
      <c r="G56" s="43">
        <f t="shared" si="13"/>
        <v>0</v>
      </c>
      <c r="H56" s="43">
        <f t="shared" si="13"/>
        <v>0</v>
      </c>
      <c r="I56" s="43">
        <f t="shared" si="13"/>
        <v>346.6150226039783</v>
      </c>
      <c r="J56" s="43">
        <f t="shared" si="13"/>
        <v>432.4731392258137</v>
      </c>
      <c r="K56" s="43">
        <f t="shared" si="13"/>
        <v>491.4128180876582</v>
      </c>
      <c r="L56" s="43">
        <f t="shared" si="13"/>
        <v>530.2578313269682</v>
      </c>
      <c r="M56" s="43">
        <f t="shared" si="13"/>
        <v>570.9912738243581</v>
      </c>
      <c r="N56" s="43">
        <f t="shared" si="13"/>
        <v>588.121012039089</v>
      </c>
      <c r="O56" s="43">
        <f t="shared" si="13"/>
        <v>605.7646424002617</v>
      </c>
      <c r="P56" s="43">
        <f t="shared" si="13"/>
        <v>623.9375816722696</v>
      </c>
    </row>
    <row r="57" spans="6:16" ht="15">
      <c r="F57" s="44" t="s">
        <v>560</v>
      </c>
      <c r="G57" s="44" t="s">
        <v>560</v>
      </c>
      <c r="H57" s="44" t="s">
        <v>560</v>
      </c>
      <c r="I57" s="44" t="s">
        <v>560</v>
      </c>
      <c r="J57" s="44" t="s">
        <v>560</v>
      </c>
      <c r="K57" s="44" t="s">
        <v>560</v>
      </c>
      <c r="L57" s="44" t="s">
        <v>560</v>
      </c>
      <c r="M57" s="44" t="s">
        <v>560</v>
      </c>
      <c r="N57" s="44" t="s">
        <v>560</v>
      </c>
      <c r="O57" s="44" t="s">
        <v>560</v>
      </c>
      <c r="P57" s="44" t="s">
        <v>560</v>
      </c>
    </row>
    <row r="58" spans="3:16" ht="15">
      <c r="C58" s="36" t="s">
        <v>649</v>
      </c>
      <c r="F58" s="43">
        <f>SUM(G58:P58)</f>
        <v>9636.018638714913</v>
      </c>
      <c r="G58" s="43">
        <f aca="true" t="shared" si="14" ref="G58:P58">G54+G55+G56</f>
        <v>0</v>
      </c>
      <c r="H58" s="43">
        <f t="shared" si="14"/>
        <v>0</v>
      </c>
      <c r="I58" s="43">
        <f t="shared" si="14"/>
        <v>797.2145519891501</v>
      </c>
      <c r="J58" s="43">
        <f t="shared" si="14"/>
        <v>994.6882202193716</v>
      </c>
      <c r="K58" s="43">
        <f t="shared" si="14"/>
        <v>1130.249481601614</v>
      </c>
      <c r="L58" s="43">
        <f t="shared" si="14"/>
        <v>1219.593012052027</v>
      </c>
      <c r="M58" s="43">
        <f t="shared" si="14"/>
        <v>1313.2799297960237</v>
      </c>
      <c r="N58" s="43">
        <f t="shared" si="14"/>
        <v>1352.6783276899048</v>
      </c>
      <c r="O58" s="43">
        <f t="shared" si="14"/>
        <v>1393.2586775206019</v>
      </c>
      <c r="P58" s="43">
        <f t="shared" si="14"/>
        <v>1435.05643784622</v>
      </c>
    </row>
    <row r="59" spans="6:16" ht="15">
      <c r="F59" s="44" t="s">
        <v>560</v>
      </c>
      <c r="G59" s="44" t="s">
        <v>560</v>
      </c>
      <c r="H59" s="44" t="s">
        <v>560</v>
      </c>
      <c r="I59" s="44" t="s">
        <v>560</v>
      </c>
      <c r="J59" s="44" t="s">
        <v>560</v>
      </c>
      <c r="K59" s="44" t="s">
        <v>560</v>
      </c>
      <c r="L59" s="44" t="s">
        <v>560</v>
      </c>
      <c r="M59" s="44" t="s">
        <v>560</v>
      </c>
      <c r="N59" s="44" t="s">
        <v>560</v>
      </c>
      <c r="O59" s="44" t="s">
        <v>560</v>
      </c>
      <c r="P59" s="44" t="s">
        <v>560</v>
      </c>
    </row>
    <row r="60" spans="3:16" ht="15">
      <c r="C60" s="36" t="s">
        <v>621</v>
      </c>
      <c r="F60" s="43">
        <f>SUM(G60:P60)</f>
        <v>87244.69260558047</v>
      </c>
      <c r="G60" s="43">
        <f aca="true" t="shared" si="15" ref="G60:P60">G42+G51+G58</f>
        <v>0</v>
      </c>
      <c r="H60" s="43">
        <f t="shared" si="15"/>
        <v>0</v>
      </c>
      <c r="I60" s="43">
        <f t="shared" si="15"/>
        <v>7914.376349457504</v>
      </c>
      <c r="J60" s="43">
        <f t="shared" si="15"/>
        <v>8927.55742880978</v>
      </c>
      <c r="K60" s="43">
        <f t="shared" si="15"/>
        <v>10144.251184210798</v>
      </c>
      <c r="L60" s="43">
        <f t="shared" si="15"/>
        <v>10946.130087343652</v>
      </c>
      <c r="M60" s="43">
        <f t="shared" si="15"/>
        <v>11786.991898598684</v>
      </c>
      <c r="N60" s="43">
        <f t="shared" si="15"/>
        <v>12140.60165555665</v>
      </c>
      <c r="O60" s="43">
        <f t="shared" si="15"/>
        <v>12504.81970522335</v>
      </c>
      <c r="P60" s="43">
        <f t="shared" si="15"/>
        <v>12879.96429638005</v>
      </c>
    </row>
    <row r="61" spans="6:16" ht="15">
      <c r="F61" s="44" t="s">
        <v>560</v>
      </c>
      <c r="G61" s="44" t="s">
        <v>560</v>
      </c>
      <c r="H61" s="44" t="s">
        <v>560</v>
      </c>
      <c r="I61" s="44" t="s">
        <v>560</v>
      </c>
      <c r="J61" s="44" t="s">
        <v>560</v>
      </c>
      <c r="K61" s="44" t="s">
        <v>560</v>
      </c>
      <c r="L61" s="44" t="s">
        <v>560</v>
      </c>
      <c r="M61" s="44" t="s">
        <v>560</v>
      </c>
      <c r="N61" s="44" t="s">
        <v>560</v>
      </c>
      <c r="O61" s="44" t="s">
        <v>560</v>
      </c>
      <c r="P61" s="44" t="s">
        <v>560</v>
      </c>
    </row>
    <row r="62" spans="3:16" ht="15">
      <c r="C62" s="36" t="s">
        <v>622</v>
      </c>
      <c r="F62" s="43">
        <f>SUM(G62:P62)</f>
        <v>52407.7514337661</v>
      </c>
      <c r="G62" s="43">
        <f aca="true" t="shared" si="16" ref="G62:P62">G33-G60</f>
        <v>0</v>
      </c>
      <c r="H62" s="43">
        <f t="shared" si="16"/>
        <v>0</v>
      </c>
      <c r="I62" s="43">
        <f t="shared" si="16"/>
        <v>3639.4577373417715</v>
      </c>
      <c r="J62" s="43">
        <f t="shared" si="16"/>
        <v>5488.213878717344</v>
      </c>
      <c r="K62" s="43">
        <f t="shared" si="16"/>
        <v>6236.176085377809</v>
      </c>
      <c r="L62" s="43">
        <f t="shared" si="16"/>
        <v>6729.1309568886245</v>
      </c>
      <c r="M62" s="43">
        <f t="shared" si="16"/>
        <v>7246.050562213255</v>
      </c>
      <c r="N62" s="43">
        <f t="shared" si="16"/>
        <v>7463.432079079652</v>
      </c>
      <c r="O62" s="43">
        <f t="shared" si="16"/>
        <v>7687.335041452041</v>
      </c>
      <c r="P62" s="43">
        <f t="shared" si="16"/>
        <v>7917.9550926956035</v>
      </c>
    </row>
    <row r="65" ht="15">
      <c r="C65" s="36" t="s">
        <v>694</v>
      </c>
    </row>
  </sheetData>
  <printOptions/>
  <pageMargins left="0.75" right="0.5" top="0.75" bottom="0.55" header="0.5" footer="0.5"/>
  <pageSetup fitToHeight="1" fitToWidth="1" horizontalDpi="600" verticalDpi="600" orientation="landscape" scale="6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43"/>
  <sheetViews>
    <sheetView showGridLines="0" workbookViewId="0" topLeftCell="B9">
      <selection activeCell="E12" sqref="E12"/>
    </sheetView>
  </sheetViews>
  <sheetFormatPr defaultColWidth="9.796875" defaultRowHeight="15"/>
  <cols>
    <col min="1" max="4" width="9.69921875" style="36" customWidth="1"/>
    <col min="5" max="16" width="11.59765625" style="36" customWidth="1"/>
    <col min="17" max="16384" width="9.69921875" style="36" customWidth="1"/>
  </cols>
  <sheetData>
    <row r="10" ht="15.75">
      <c r="C10" s="35" t="s">
        <v>708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147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623</v>
      </c>
    </row>
    <row r="22" spans="3:16" ht="15">
      <c r="C22" s="36" t="s">
        <v>624</v>
      </c>
      <c r="F22" s="43">
        <f>SUM(G22:P22)</f>
        <v>52407.7514337661</v>
      </c>
      <c r="G22" s="43">
        <f>HOTNOI</f>
        <v>0</v>
      </c>
      <c r="H22" s="43">
        <f>K!H62</f>
        <v>0</v>
      </c>
      <c r="I22" s="43">
        <f>K!I62</f>
        <v>3639.4577373417715</v>
      </c>
      <c r="J22" s="43">
        <f>K!J62</f>
        <v>5488.213878717344</v>
      </c>
      <c r="K22" s="43">
        <f>K!K62</f>
        <v>6236.176085377809</v>
      </c>
      <c r="L22" s="43">
        <f>K!L62</f>
        <v>6729.1309568886245</v>
      </c>
      <c r="M22" s="43">
        <f>K!M62</f>
        <v>7246.050562213255</v>
      </c>
      <c r="N22" s="43">
        <f>K!N62</f>
        <v>7463.432079079652</v>
      </c>
      <c r="O22" s="43">
        <f>K!O62</f>
        <v>7687.335041452041</v>
      </c>
      <c r="P22" s="43">
        <f>K!P62</f>
        <v>7917.9550926956035</v>
      </c>
    </row>
    <row r="23" spans="3:16" ht="18">
      <c r="C23" s="36" t="s">
        <v>671</v>
      </c>
      <c r="E23" s="56">
        <v>0.1</v>
      </c>
      <c r="F23" s="43">
        <f>SUM(G23:P23)</f>
        <v>79179.55092695603</v>
      </c>
      <c r="P23" s="43">
        <f>P22/E23</f>
        <v>79179.55092695603</v>
      </c>
    </row>
    <row r="24" spans="6:16" ht="15">
      <c r="F24" s="44" t="s">
        <v>560</v>
      </c>
      <c r="G24" s="44" t="s">
        <v>560</v>
      </c>
      <c r="H24" s="44" t="s">
        <v>560</v>
      </c>
      <c r="I24" s="44" t="s">
        <v>560</v>
      </c>
      <c r="J24" s="44" t="s">
        <v>560</v>
      </c>
      <c r="K24" s="44" t="s">
        <v>560</v>
      </c>
      <c r="L24" s="44" t="s">
        <v>560</v>
      </c>
      <c r="M24" s="44" t="s">
        <v>560</v>
      </c>
      <c r="N24" s="44" t="s">
        <v>560</v>
      </c>
      <c r="O24" s="44" t="s">
        <v>560</v>
      </c>
      <c r="P24" s="44" t="s">
        <v>560</v>
      </c>
    </row>
    <row r="25" spans="3:16" ht="15">
      <c r="C25" s="36" t="s">
        <v>625</v>
      </c>
      <c r="F25" s="43">
        <f>SUM(G25:P25)</f>
        <v>131587.30236072213</v>
      </c>
      <c r="G25" s="43">
        <f aca="true" t="shared" si="1" ref="G25:P25">G22+G23</f>
        <v>0</v>
      </c>
      <c r="H25" s="43">
        <f t="shared" si="1"/>
        <v>0</v>
      </c>
      <c r="I25" s="43">
        <f t="shared" si="1"/>
        <v>3639.4577373417715</v>
      </c>
      <c r="J25" s="43">
        <f t="shared" si="1"/>
        <v>5488.213878717344</v>
      </c>
      <c r="K25" s="43">
        <f t="shared" si="1"/>
        <v>6236.176085377809</v>
      </c>
      <c r="L25" s="43">
        <f t="shared" si="1"/>
        <v>6729.1309568886245</v>
      </c>
      <c r="M25" s="43">
        <f t="shared" si="1"/>
        <v>7246.050562213255</v>
      </c>
      <c r="N25" s="43">
        <f t="shared" si="1"/>
        <v>7463.432079079652</v>
      </c>
      <c r="O25" s="43">
        <f t="shared" si="1"/>
        <v>7687.335041452041</v>
      </c>
      <c r="P25" s="43">
        <f t="shared" si="1"/>
        <v>87097.50601965163</v>
      </c>
    </row>
    <row r="27" ht="15">
      <c r="C27" s="58" t="s">
        <v>626</v>
      </c>
    </row>
    <row r="28" ht="15">
      <c r="C28" s="58" t="s">
        <v>575</v>
      </c>
    </row>
    <row r="29" spans="3:16" ht="15">
      <c r="C29" s="36" t="s">
        <v>650</v>
      </c>
      <c r="E29" s="43">
        <v>30000</v>
      </c>
      <c r="F29" s="43">
        <f>SUM(G29:P29)</f>
        <v>30900</v>
      </c>
      <c r="G29" s="43">
        <v>0</v>
      </c>
      <c r="H29" s="43">
        <f>$E$29*H17</f>
        <v>30900</v>
      </c>
      <c r="I29" s="43">
        <v>0</v>
      </c>
      <c r="J29" s="43">
        <v>0</v>
      </c>
      <c r="K29" s="43">
        <v>0</v>
      </c>
      <c r="L29" s="43">
        <v>0</v>
      </c>
      <c r="M29" s="43">
        <v>0</v>
      </c>
      <c r="N29" s="43">
        <v>0</v>
      </c>
      <c r="O29" s="43">
        <v>0</v>
      </c>
      <c r="P29" s="43">
        <v>0</v>
      </c>
    </row>
    <row r="30" spans="3:16" ht="15">
      <c r="C30" s="36" t="s">
        <v>537</v>
      </c>
      <c r="E30" s="56">
        <v>0.2</v>
      </c>
      <c r="F30" s="43">
        <f>SUM(G30:P30)</f>
        <v>6180</v>
      </c>
      <c r="G30" s="43">
        <f aca="true" t="shared" si="2" ref="G30:P30">$E$30*SUM(G29)</f>
        <v>0</v>
      </c>
      <c r="H30" s="43">
        <f t="shared" si="2"/>
        <v>6180</v>
      </c>
      <c r="I30" s="43">
        <f t="shared" si="2"/>
        <v>0</v>
      </c>
      <c r="J30" s="43">
        <f t="shared" si="2"/>
        <v>0</v>
      </c>
      <c r="K30" s="43">
        <f t="shared" si="2"/>
        <v>0</v>
      </c>
      <c r="L30" s="43">
        <f t="shared" si="2"/>
        <v>0</v>
      </c>
      <c r="M30" s="43">
        <f t="shared" si="2"/>
        <v>0</v>
      </c>
      <c r="N30" s="43">
        <f t="shared" si="2"/>
        <v>0</v>
      </c>
      <c r="O30" s="43">
        <f t="shared" si="2"/>
        <v>0</v>
      </c>
      <c r="P30" s="43">
        <f t="shared" si="2"/>
        <v>0</v>
      </c>
    </row>
    <row r="31" spans="3:16" ht="15">
      <c r="C31" s="36" t="s">
        <v>538</v>
      </c>
      <c r="E31" s="56">
        <v>0.05</v>
      </c>
      <c r="F31" s="43">
        <f>SUM(G31:P31)</f>
        <v>1545</v>
      </c>
      <c r="G31" s="43">
        <f aca="true" t="shared" si="3" ref="G31:P31">$E$31*SUM(G29)</f>
        <v>0</v>
      </c>
      <c r="H31" s="43">
        <f t="shared" si="3"/>
        <v>1545</v>
      </c>
      <c r="I31" s="43">
        <f t="shared" si="3"/>
        <v>0</v>
      </c>
      <c r="J31" s="43">
        <f t="shared" si="3"/>
        <v>0</v>
      </c>
      <c r="K31" s="43">
        <f t="shared" si="3"/>
        <v>0</v>
      </c>
      <c r="L31" s="43">
        <f t="shared" si="3"/>
        <v>0</v>
      </c>
      <c r="M31" s="43">
        <f t="shared" si="3"/>
        <v>0</v>
      </c>
      <c r="N31" s="43">
        <f t="shared" si="3"/>
        <v>0</v>
      </c>
      <c r="O31" s="43">
        <f t="shared" si="3"/>
        <v>0</v>
      </c>
      <c r="P31" s="43">
        <f t="shared" si="3"/>
        <v>0</v>
      </c>
    </row>
    <row r="32" spans="6:16" ht="15">
      <c r="F32" s="44" t="s">
        <v>560</v>
      </c>
      <c r="G32" s="44" t="s">
        <v>560</v>
      </c>
      <c r="H32" s="44" t="s">
        <v>560</v>
      </c>
      <c r="I32" s="44" t="s">
        <v>560</v>
      </c>
      <c r="J32" s="44" t="s">
        <v>560</v>
      </c>
      <c r="K32" s="44" t="s">
        <v>560</v>
      </c>
      <c r="L32" s="44" t="s">
        <v>560</v>
      </c>
      <c r="M32" s="44" t="s">
        <v>560</v>
      </c>
      <c r="N32" s="44" t="s">
        <v>560</v>
      </c>
      <c r="O32" s="44" t="s">
        <v>560</v>
      </c>
      <c r="P32" s="44" t="s">
        <v>560</v>
      </c>
    </row>
    <row r="33" spans="3:16" ht="15">
      <c r="C33" s="36" t="s">
        <v>629</v>
      </c>
      <c r="F33" s="43">
        <f>SUM(G33:P33)</f>
        <v>38625</v>
      </c>
      <c r="G33" s="43">
        <f aca="true" t="shared" si="4" ref="G33:P33">SUM(G29:G31)</f>
        <v>0</v>
      </c>
      <c r="H33" s="43">
        <f t="shared" si="4"/>
        <v>38625</v>
      </c>
      <c r="I33" s="43">
        <f t="shared" si="4"/>
        <v>0</v>
      </c>
      <c r="J33" s="43">
        <f t="shared" si="4"/>
        <v>0</v>
      </c>
      <c r="K33" s="43">
        <f t="shared" si="4"/>
        <v>0</v>
      </c>
      <c r="L33" s="43">
        <f t="shared" si="4"/>
        <v>0</v>
      </c>
      <c r="M33" s="43">
        <f t="shared" si="4"/>
        <v>0</v>
      </c>
      <c r="N33" s="43">
        <f t="shared" si="4"/>
        <v>0</v>
      </c>
      <c r="O33" s="43">
        <f t="shared" si="4"/>
        <v>0</v>
      </c>
      <c r="P33" s="43">
        <f t="shared" si="4"/>
        <v>0</v>
      </c>
    </row>
    <row r="34" spans="6:16" ht="15">
      <c r="F34" s="44" t="s">
        <v>560</v>
      </c>
      <c r="G34" s="44" t="s">
        <v>560</v>
      </c>
      <c r="H34" s="44" t="s">
        <v>560</v>
      </c>
      <c r="I34" s="44" t="s">
        <v>560</v>
      </c>
      <c r="J34" s="44" t="s">
        <v>560</v>
      </c>
      <c r="K34" s="44" t="s">
        <v>560</v>
      </c>
      <c r="L34" s="44" t="s">
        <v>560</v>
      </c>
      <c r="M34" s="44" t="s">
        <v>560</v>
      </c>
      <c r="N34" s="44" t="s">
        <v>560</v>
      </c>
      <c r="O34" s="44" t="s">
        <v>560</v>
      </c>
      <c r="P34" s="44" t="s">
        <v>560</v>
      </c>
    </row>
    <row r="35" spans="3:16" ht="15">
      <c r="C35" s="36" t="s">
        <v>563</v>
      </c>
      <c r="F35" s="43">
        <f>SUM(G35:P35)</f>
        <v>92962.30236072213</v>
      </c>
      <c r="G35" s="43">
        <f aca="true" t="shared" si="5" ref="G35:P35">G25-G33</f>
        <v>0</v>
      </c>
      <c r="H35" s="43">
        <f t="shared" si="5"/>
        <v>-38625</v>
      </c>
      <c r="I35" s="43">
        <f t="shared" si="5"/>
        <v>3639.4577373417715</v>
      </c>
      <c r="J35" s="43">
        <f t="shared" si="5"/>
        <v>5488.213878717344</v>
      </c>
      <c r="K35" s="43">
        <f t="shared" si="5"/>
        <v>6236.176085377809</v>
      </c>
      <c r="L35" s="43">
        <f t="shared" si="5"/>
        <v>6729.1309568886245</v>
      </c>
      <c r="M35" s="43">
        <f t="shared" si="5"/>
        <v>7246.050562213255</v>
      </c>
      <c r="N35" s="43">
        <f t="shared" si="5"/>
        <v>7463.432079079652</v>
      </c>
      <c r="O35" s="43">
        <f t="shared" si="5"/>
        <v>7687.335041452041</v>
      </c>
      <c r="P35" s="43">
        <f t="shared" si="5"/>
        <v>87097.50601965163</v>
      </c>
    </row>
    <row r="36" spans="3:16" ht="15">
      <c r="C36" s="36" t="s">
        <v>564</v>
      </c>
      <c r="G36" s="43">
        <f>G35</f>
        <v>0</v>
      </c>
      <c r="H36" s="43">
        <f aca="true" t="shared" si="6" ref="H36:P36">G36+H35</f>
        <v>-38625</v>
      </c>
      <c r="I36" s="43">
        <f t="shared" si="6"/>
        <v>-34985.54226265823</v>
      </c>
      <c r="J36" s="43">
        <f t="shared" si="6"/>
        <v>-29497.328383940883</v>
      </c>
      <c r="K36" s="43">
        <f t="shared" si="6"/>
        <v>-23261.152298563073</v>
      </c>
      <c r="L36" s="43">
        <f t="shared" si="6"/>
        <v>-16532.02134167445</v>
      </c>
      <c r="M36" s="43">
        <f t="shared" si="6"/>
        <v>-9285.970779461193</v>
      </c>
      <c r="N36" s="43">
        <f t="shared" si="6"/>
        <v>-1822.5387003815413</v>
      </c>
      <c r="O36" s="43">
        <f t="shared" si="6"/>
        <v>5864.7963410705</v>
      </c>
      <c r="P36" s="43">
        <f t="shared" si="6"/>
        <v>92962.30236072213</v>
      </c>
    </row>
    <row r="39" spans="2:6" ht="15">
      <c r="B39" s="36">
        <v>0.2</v>
      </c>
      <c r="C39" s="45"/>
      <c r="D39" s="46"/>
      <c r="E39" s="47"/>
      <c r="F39" s="40"/>
    </row>
    <row r="40" spans="3:5" ht="15">
      <c r="C40" s="48" t="s">
        <v>566</v>
      </c>
      <c r="D40" s="49">
        <f>C!D41</f>
        <v>0.12</v>
      </c>
      <c r="E40" s="50">
        <f>NPV(D40,G35:P35)</f>
        <v>19341.79701640826</v>
      </c>
    </row>
    <row r="43" ht="18">
      <c r="C43" s="67" t="s">
        <v>672</v>
      </c>
    </row>
  </sheetData>
  <printOptions/>
  <pageMargins left="0.75" right="0.5" top="0.75" bottom="0.55" header="0.5" footer="0.5"/>
  <pageSetup fitToHeight="1" fitToWidth="1" horizontalDpi="600" verticalDpi="600" orientation="landscape" scale="7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58"/>
  <sheetViews>
    <sheetView showGridLines="0" workbookViewId="0" topLeftCell="A1">
      <selection activeCell="E17" sqref="E17"/>
    </sheetView>
  </sheetViews>
  <sheetFormatPr defaultColWidth="9.796875" defaultRowHeight="15"/>
  <cols>
    <col min="1" max="4" width="9.69921875" style="36" customWidth="1"/>
    <col min="5" max="16" width="11.59765625" style="36" customWidth="1"/>
    <col min="17" max="16384" width="9.69921875" style="36" customWidth="1"/>
  </cols>
  <sheetData>
    <row r="10" ht="15.75">
      <c r="C10" s="35" t="s">
        <v>709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142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1" ht="15">
      <c r="C21" s="58" t="s">
        <v>567</v>
      </c>
    </row>
    <row r="22" spans="3:16" ht="15">
      <c r="C22" s="36" t="s">
        <v>676</v>
      </c>
      <c r="F22" s="59"/>
      <c r="G22" s="59">
        <v>0</v>
      </c>
      <c r="H22" s="59">
        <v>0</v>
      </c>
      <c r="I22" s="59">
        <v>0</v>
      </c>
      <c r="J22" s="59">
        <v>15000</v>
      </c>
      <c r="K22" s="59">
        <f aca="true" t="shared" si="1" ref="K22:P22">J22</f>
        <v>15000</v>
      </c>
      <c r="L22" s="59">
        <f t="shared" si="1"/>
        <v>15000</v>
      </c>
      <c r="M22" s="59">
        <f t="shared" si="1"/>
        <v>15000</v>
      </c>
      <c r="N22" s="59">
        <f t="shared" si="1"/>
        <v>15000</v>
      </c>
      <c r="O22" s="59">
        <f t="shared" si="1"/>
        <v>15000</v>
      </c>
      <c r="P22" s="59">
        <f t="shared" si="1"/>
        <v>15000</v>
      </c>
    </row>
    <row r="23" spans="3:16" ht="15">
      <c r="C23" s="36" t="s">
        <v>632</v>
      </c>
      <c r="F23" s="56"/>
      <c r="G23" s="56">
        <v>0</v>
      </c>
      <c r="H23" s="56">
        <v>0</v>
      </c>
      <c r="I23" s="56">
        <v>0</v>
      </c>
      <c r="J23" s="56">
        <v>0.8</v>
      </c>
      <c r="K23" s="56">
        <v>0.95</v>
      </c>
      <c r="L23" s="56">
        <v>0.95</v>
      </c>
      <c r="M23" s="56">
        <v>0.95</v>
      </c>
      <c r="N23" s="56">
        <v>0.95</v>
      </c>
      <c r="O23" s="56">
        <v>0.95</v>
      </c>
      <c r="P23" s="56">
        <v>0.95</v>
      </c>
    </row>
    <row r="24" spans="3:16" ht="15">
      <c r="C24" s="36" t="s">
        <v>677</v>
      </c>
      <c r="F24" s="65"/>
      <c r="G24" s="65">
        <v>0</v>
      </c>
      <c r="H24" s="65">
        <v>0</v>
      </c>
      <c r="I24" s="65">
        <v>0</v>
      </c>
      <c r="J24" s="65">
        <f>12*2.25</f>
        <v>27</v>
      </c>
      <c r="K24" s="65">
        <f aca="true" t="shared" si="2" ref="K24:P24">J24</f>
        <v>27</v>
      </c>
      <c r="L24" s="65">
        <f t="shared" si="2"/>
        <v>27</v>
      </c>
      <c r="M24" s="65">
        <f t="shared" si="2"/>
        <v>27</v>
      </c>
      <c r="N24" s="65">
        <f t="shared" si="2"/>
        <v>27</v>
      </c>
      <c r="O24" s="65">
        <f t="shared" si="2"/>
        <v>27</v>
      </c>
      <c r="P24" s="65">
        <f t="shared" si="2"/>
        <v>27</v>
      </c>
    </row>
    <row r="25" spans="7:16" ht="15">
      <c r="G25" s="44" t="s">
        <v>560</v>
      </c>
      <c r="H25" s="44" t="s">
        <v>560</v>
      </c>
      <c r="I25" s="44" t="s">
        <v>560</v>
      </c>
      <c r="J25" s="44" t="s">
        <v>560</v>
      </c>
      <c r="K25" s="44" t="s">
        <v>560</v>
      </c>
      <c r="L25" s="44" t="s">
        <v>560</v>
      </c>
      <c r="M25" s="44" t="s">
        <v>560</v>
      </c>
      <c r="N25" s="44" t="s">
        <v>560</v>
      </c>
      <c r="O25" s="44" t="s">
        <v>560</v>
      </c>
      <c r="P25" s="44" t="s">
        <v>560</v>
      </c>
    </row>
    <row r="26" spans="3:16" ht="15">
      <c r="C26" s="36" t="s">
        <v>651</v>
      </c>
      <c r="F26" s="43">
        <f>SUM(G26:P26)</f>
        <v>3155.1206248383637</v>
      </c>
      <c r="G26" s="43">
        <f>(G22*G23*G24*G19)/1000</f>
        <v>0</v>
      </c>
      <c r="H26" s="43">
        <f aca="true" t="shared" si="3" ref="H26:P26">(H22*H23*H24*H19)/1000</f>
        <v>0</v>
      </c>
      <c r="I26" s="43">
        <f t="shared" si="3"/>
        <v>0</v>
      </c>
      <c r="J26" s="43">
        <f t="shared" si="3"/>
        <v>354.043548</v>
      </c>
      <c r="K26" s="43">
        <f t="shared" si="3"/>
        <v>433.0395146475001</v>
      </c>
      <c r="L26" s="43">
        <f t="shared" si="3"/>
        <v>446.030700086925</v>
      </c>
      <c r="M26" s="43">
        <f t="shared" si="3"/>
        <v>459.4116210895328</v>
      </c>
      <c r="N26" s="43">
        <f t="shared" si="3"/>
        <v>473.1939697222188</v>
      </c>
      <c r="O26" s="43">
        <f t="shared" si="3"/>
        <v>487.38978881388545</v>
      </c>
      <c r="P26" s="43">
        <f t="shared" si="3"/>
        <v>502.01148247830196</v>
      </c>
    </row>
    <row r="28" ht="15">
      <c r="C28" s="58" t="s">
        <v>615</v>
      </c>
    </row>
    <row r="29" spans="3:16" ht="15">
      <c r="C29" s="36" t="s">
        <v>652</v>
      </c>
      <c r="E29" s="56">
        <v>0.05</v>
      </c>
      <c r="F29" s="43">
        <f>SUM(G29:P29)</f>
        <v>157.7560312419182</v>
      </c>
      <c r="G29" s="43">
        <f aca="true" t="shared" si="4" ref="G29:P29">$E$29*G26</f>
        <v>0</v>
      </c>
      <c r="H29" s="43">
        <f t="shared" si="4"/>
        <v>0</v>
      </c>
      <c r="I29" s="43">
        <f t="shared" si="4"/>
        <v>0</v>
      </c>
      <c r="J29" s="43">
        <f t="shared" si="4"/>
        <v>17.7021774</v>
      </c>
      <c r="K29" s="43">
        <f t="shared" si="4"/>
        <v>21.651975732375007</v>
      </c>
      <c r="L29" s="43">
        <f t="shared" si="4"/>
        <v>22.30153500434625</v>
      </c>
      <c r="M29" s="43">
        <f t="shared" si="4"/>
        <v>22.97058105447664</v>
      </c>
      <c r="N29" s="43">
        <f t="shared" si="4"/>
        <v>23.65969848611094</v>
      </c>
      <c r="O29" s="43">
        <f t="shared" si="4"/>
        <v>24.369489440694274</v>
      </c>
      <c r="P29" s="43">
        <f t="shared" si="4"/>
        <v>25.1005741239151</v>
      </c>
    </row>
    <row r="30" spans="3:16" ht="15">
      <c r="C30" s="36" t="s">
        <v>653</v>
      </c>
      <c r="E30" s="56">
        <v>0.05</v>
      </c>
      <c r="F30" s="43">
        <f>SUM(G30:P30)</f>
        <v>157.7560312419182</v>
      </c>
      <c r="G30" s="43">
        <f aca="true" t="shared" si="5" ref="G30:P30">$E$30*G26</f>
        <v>0</v>
      </c>
      <c r="H30" s="43">
        <f t="shared" si="5"/>
        <v>0</v>
      </c>
      <c r="I30" s="43">
        <f t="shared" si="5"/>
        <v>0</v>
      </c>
      <c r="J30" s="43">
        <f t="shared" si="5"/>
        <v>17.7021774</v>
      </c>
      <c r="K30" s="43">
        <f t="shared" si="5"/>
        <v>21.651975732375007</v>
      </c>
      <c r="L30" s="43">
        <f t="shared" si="5"/>
        <v>22.30153500434625</v>
      </c>
      <c r="M30" s="43">
        <f t="shared" si="5"/>
        <v>22.97058105447664</v>
      </c>
      <c r="N30" s="43">
        <f t="shared" si="5"/>
        <v>23.65969848611094</v>
      </c>
      <c r="O30" s="43">
        <f t="shared" si="5"/>
        <v>24.369489440694274</v>
      </c>
      <c r="P30" s="43">
        <f t="shared" si="5"/>
        <v>25.1005741239151</v>
      </c>
    </row>
    <row r="31" spans="6:16" ht="15">
      <c r="F31" s="44" t="s">
        <v>560</v>
      </c>
      <c r="G31" s="44" t="s">
        <v>560</v>
      </c>
      <c r="H31" s="44" t="s">
        <v>560</v>
      </c>
      <c r="I31" s="44" t="s">
        <v>560</v>
      </c>
      <c r="J31" s="44" t="s">
        <v>560</v>
      </c>
      <c r="K31" s="44" t="s">
        <v>560</v>
      </c>
      <c r="L31" s="44" t="s">
        <v>560</v>
      </c>
      <c r="M31" s="44" t="s">
        <v>560</v>
      </c>
      <c r="N31" s="44" t="s">
        <v>560</v>
      </c>
      <c r="O31" s="44" t="s">
        <v>560</v>
      </c>
      <c r="P31" s="44" t="s">
        <v>560</v>
      </c>
    </row>
    <row r="32" spans="3:16" ht="15">
      <c r="C32" s="36" t="s">
        <v>621</v>
      </c>
      <c r="F32" s="43">
        <f>SUM(G32:P32)</f>
        <v>315.5120624838364</v>
      </c>
      <c r="G32" s="43">
        <f aca="true" t="shared" si="6" ref="G32:P32">G29+G30</f>
        <v>0</v>
      </c>
      <c r="H32" s="43">
        <f t="shared" si="6"/>
        <v>0</v>
      </c>
      <c r="I32" s="43">
        <f t="shared" si="6"/>
        <v>0</v>
      </c>
      <c r="J32" s="43">
        <f t="shared" si="6"/>
        <v>35.4043548</v>
      </c>
      <c r="K32" s="43">
        <f t="shared" si="6"/>
        <v>43.303951464750014</v>
      </c>
      <c r="L32" s="43">
        <f t="shared" si="6"/>
        <v>44.6030700086925</v>
      </c>
      <c r="M32" s="43">
        <f t="shared" si="6"/>
        <v>45.94116210895328</v>
      </c>
      <c r="N32" s="43">
        <f t="shared" si="6"/>
        <v>47.31939697222188</v>
      </c>
      <c r="O32" s="43">
        <f t="shared" si="6"/>
        <v>48.73897888138855</v>
      </c>
      <c r="P32" s="43">
        <f t="shared" si="6"/>
        <v>50.2011482478302</v>
      </c>
    </row>
    <row r="33" spans="6:16" ht="15">
      <c r="F33" s="44" t="s">
        <v>560</v>
      </c>
      <c r="G33" s="44" t="s">
        <v>560</v>
      </c>
      <c r="H33" s="44" t="s">
        <v>560</v>
      </c>
      <c r="I33" s="44" t="s">
        <v>560</v>
      </c>
      <c r="J33" s="44" t="s">
        <v>560</v>
      </c>
      <c r="K33" s="44" t="s">
        <v>560</v>
      </c>
      <c r="L33" s="44" t="s">
        <v>560</v>
      </c>
      <c r="M33" s="44" t="s">
        <v>560</v>
      </c>
      <c r="N33" s="44" t="s">
        <v>560</v>
      </c>
      <c r="O33" s="44" t="s">
        <v>560</v>
      </c>
      <c r="P33" s="44" t="s">
        <v>560</v>
      </c>
    </row>
    <row r="34" spans="3:16" ht="15">
      <c r="C34" s="36" t="s">
        <v>622</v>
      </c>
      <c r="F34" s="43">
        <f>SUM(G34:P34)</f>
        <v>2839.6085623545277</v>
      </c>
      <c r="G34" s="43">
        <f aca="true" t="shared" si="7" ref="G34:P34">G26-G32</f>
        <v>0</v>
      </c>
      <c r="H34" s="43">
        <f t="shared" si="7"/>
        <v>0</v>
      </c>
      <c r="I34" s="43">
        <f t="shared" si="7"/>
        <v>0</v>
      </c>
      <c r="J34" s="43">
        <f t="shared" si="7"/>
        <v>318.63919319999997</v>
      </c>
      <c r="K34" s="43">
        <f t="shared" si="7"/>
        <v>389.73556318275007</v>
      </c>
      <c r="L34" s="43">
        <f t="shared" si="7"/>
        <v>401.4276300782325</v>
      </c>
      <c r="M34" s="43">
        <f t="shared" si="7"/>
        <v>413.4704589805795</v>
      </c>
      <c r="N34" s="43">
        <f t="shared" si="7"/>
        <v>425.8745727499969</v>
      </c>
      <c r="O34" s="43">
        <f t="shared" si="7"/>
        <v>438.6508099324969</v>
      </c>
      <c r="P34" s="43">
        <f t="shared" si="7"/>
        <v>451.81033423047177</v>
      </c>
    </row>
    <row r="36" ht="15">
      <c r="C36" s="58" t="s">
        <v>623</v>
      </c>
    </row>
    <row r="37" spans="3:16" ht="15">
      <c r="C37" s="36" t="s">
        <v>624</v>
      </c>
      <c r="F37" s="43">
        <f>SUM(G37:P37)</f>
        <v>2839.6085623545277</v>
      </c>
      <c r="G37" s="43">
        <f aca="true" t="shared" si="8" ref="G37:P37">G34</f>
        <v>0</v>
      </c>
      <c r="H37" s="43">
        <f t="shared" si="8"/>
        <v>0</v>
      </c>
      <c r="I37" s="43">
        <f t="shared" si="8"/>
        <v>0</v>
      </c>
      <c r="J37" s="43">
        <f t="shared" si="8"/>
        <v>318.63919319999997</v>
      </c>
      <c r="K37" s="43">
        <f t="shared" si="8"/>
        <v>389.73556318275007</v>
      </c>
      <c r="L37" s="43">
        <f t="shared" si="8"/>
        <v>401.4276300782325</v>
      </c>
      <c r="M37" s="43">
        <f t="shared" si="8"/>
        <v>413.4704589805795</v>
      </c>
      <c r="N37" s="43">
        <f t="shared" si="8"/>
        <v>425.8745727499969</v>
      </c>
      <c r="O37" s="43">
        <f t="shared" si="8"/>
        <v>438.6508099324969</v>
      </c>
      <c r="P37" s="43">
        <f t="shared" si="8"/>
        <v>451.81033423047177</v>
      </c>
    </row>
    <row r="38" spans="3:16" ht="18">
      <c r="C38" s="36" t="s">
        <v>671</v>
      </c>
      <c r="E38" s="56">
        <v>0.1</v>
      </c>
      <c r="F38" s="43">
        <f>SUM(G38:P38)</f>
        <v>4518.103342304717</v>
      </c>
      <c r="P38" s="43">
        <f>P34/E38</f>
        <v>4518.103342304717</v>
      </c>
    </row>
    <row r="39" spans="6:16" ht="15">
      <c r="F39" s="44" t="s">
        <v>560</v>
      </c>
      <c r="G39" s="44" t="s">
        <v>560</v>
      </c>
      <c r="H39" s="44" t="s">
        <v>560</v>
      </c>
      <c r="I39" s="44" t="s">
        <v>560</v>
      </c>
      <c r="J39" s="44" t="s">
        <v>560</v>
      </c>
      <c r="K39" s="44" t="s">
        <v>560</v>
      </c>
      <c r="L39" s="44" t="s">
        <v>560</v>
      </c>
      <c r="M39" s="44" t="s">
        <v>560</v>
      </c>
      <c r="N39" s="44" t="s">
        <v>560</v>
      </c>
      <c r="O39" s="44" t="s">
        <v>560</v>
      </c>
      <c r="P39" s="44" t="s">
        <v>560</v>
      </c>
    </row>
    <row r="40" spans="3:16" ht="15">
      <c r="C40" s="36" t="s">
        <v>654</v>
      </c>
      <c r="F40" s="43">
        <f>SUM(G40:P40)</f>
        <v>7357.711904659245</v>
      </c>
      <c r="G40" s="43">
        <f aca="true" t="shared" si="9" ref="G40:P40">G37+G38</f>
        <v>0</v>
      </c>
      <c r="H40" s="43">
        <f t="shared" si="9"/>
        <v>0</v>
      </c>
      <c r="I40" s="43">
        <f t="shared" si="9"/>
        <v>0</v>
      </c>
      <c r="J40" s="43">
        <f t="shared" si="9"/>
        <v>318.63919319999997</v>
      </c>
      <c r="K40" s="43">
        <f t="shared" si="9"/>
        <v>389.73556318275007</v>
      </c>
      <c r="L40" s="43">
        <f t="shared" si="9"/>
        <v>401.4276300782325</v>
      </c>
      <c r="M40" s="43">
        <f t="shared" si="9"/>
        <v>413.4704589805795</v>
      </c>
      <c r="N40" s="43">
        <f t="shared" si="9"/>
        <v>425.8745727499969</v>
      </c>
      <c r="O40" s="43">
        <f t="shared" si="9"/>
        <v>438.6508099324969</v>
      </c>
      <c r="P40" s="43">
        <f t="shared" si="9"/>
        <v>4969.91367653519</v>
      </c>
    </row>
    <row r="42" ht="15">
      <c r="C42" s="58" t="s">
        <v>626</v>
      </c>
    </row>
    <row r="43" spans="3:5" ht="15">
      <c r="C43" s="58" t="s">
        <v>575</v>
      </c>
      <c r="E43" s="58"/>
    </row>
    <row r="44" spans="3:16" ht="15">
      <c r="C44" s="36" t="s">
        <v>650</v>
      </c>
      <c r="E44" s="43">
        <f>J22*125*0.001</f>
        <v>1875</v>
      </c>
      <c r="F44" s="43">
        <v>0</v>
      </c>
      <c r="G44" s="43">
        <v>0</v>
      </c>
      <c r="H44" s="43">
        <v>0</v>
      </c>
      <c r="I44" s="43">
        <f>E44*J19</f>
        <v>2048.863125</v>
      </c>
      <c r="J44" s="43">
        <v>0</v>
      </c>
      <c r="K44" s="43">
        <v>0</v>
      </c>
      <c r="L44" s="43">
        <v>0</v>
      </c>
      <c r="M44" s="43">
        <v>0</v>
      </c>
      <c r="N44" s="43">
        <v>0</v>
      </c>
      <c r="O44" s="43">
        <v>0</v>
      </c>
      <c r="P44" s="43">
        <v>0</v>
      </c>
    </row>
    <row r="45" spans="3:16" ht="15">
      <c r="C45" s="36" t="s">
        <v>537</v>
      </c>
      <c r="E45" s="56">
        <v>0.2</v>
      </c>
      <c r="F45" s="43">
        <f>SUM(G45:P45)</f>
        <v>409.772625</v>
      </c>
      <c r="G45" s="43">
        <f aca="true" t="shared" si="10" ref="G45:P45">$E$45*SUM(G44)</f>
        <v>0</v>
      </c>
      <c r="H45" s="43">
        <f t="shared" si="10"/>
        <v>0</v>
      </c>
      <c r="I45" s="43">
        <f t="shared" si="10"/>
        <v>409.772625</v>
      </c>
      <c r="J45" s="43">
        <f t="shared" si="10"/>
        <v>0</v>
      </c>
      <c r="K45" s="43">
        <f t="shared" si="10"/>
        <v>0</v>
      </c>
      <c r="L45" s="43">
        <f t="shared" si="10"/>
        <v>0</v>
      </c>
      <c r="M45" s="43">
        <f t="shared" si="10"/>
        <v>0</v>
      </c>
      <c r="N45" s="43">
        <f t="shared" si="10"/>
        <v>0</v>
      </c>
      <c r="O45" s="43">
        <f t="shared" si="10"/>
        <v>0</v>
      </c>
      <c r="P45" s="43">
        <f t="shared" si="10"/>
        <v>0</v>
      </c>
    </row>
    <row r="46" spans="3:16" ht="15">
      <c r="C46" s="36" t="s">
        <v>538</v>
      </c>
      <c r="E46" s="56">
        <v>0.05</v>
      </c>
      <c r="F46" s="43">
        <f>SUM(G46:P46)</f>
        <v>102.44315625</v>
      </c>
      <c r="G46" s="43">
        <f aca="true" t="shared" si="11" ref="G46:P46">$E$46*SUM(G44)</f>
        <v>0</v>
      </c>
      <c r="H46" s="43">
        <f t="shared" si="11"/>
        <v>0</v>
      </c>
      <c r="I46" s="43">
        <f t="shared" si="11"/>
        <v>102.44315625</v>
      </c>
      <c r="J46" s="43">
        <f t="shared" si="11"/>
        <v>0</v>
      </c>
      <c r="K46" s="43">
        <f t="shared" si="11"/>
        <v>0</v>
      </c>
      <c r="L46" s="43">
        <f t="shared" si="11"/>
        <v>0</v>
      </c>
      <c r="M46" s="43">
        <f t="shared" si="11"/>
        <v>0</v>
      </c>
      <c r="N46" s="43">
        <f t="shared" si="11"/>
        <v>0</v>
      </c>
      <c r="O46" s="43">
        <f t="shared" si="11"/>
        <v>0</v>
      </c>
      <c r="P46" s="43">
        <f t="shared" si="11"/>
        <v>0</v>
      </c>
    </row>
    <row r="47" spans="6:16" ht="15">
      <c r="F47" s="44" t="s">
        <v>560</v>
      </c>
      <c r="G47" s="44" t="s">
        <v>560</v>
      </c>
      <c r="H47" s="44" t="s">
        <v>560</v>
      </c>
      <c r="I47" s="44" t="s">
        <v>560</v>
      </c>
      <c r="J47" s="44" t="s">
        <v>560</v>
      </c>
      <c r="K47" s="44" t="s">
        <v>560</v>
      </c>
      <c r="L47" s="44" t="s">
        <v>560</v>
      </c>
      <c r="M47" s="44" t="s">
        <v>560</v>
      </c>
      <c r="N47" s="44" t="s">
        <v>560</v>
      </c>
      <c r="O47" s="44" t="s">
        <v>560</v>
      </c>
      <c r="P47" s="44" t="s">
        <v>560</v>
      </c>
    </row>
    <row r="48" spans="3:16" ht="15">
      <c r="C48" s="36" t="s">
        <v>629</v>
      </c>
      <c r="F48" s="43">
        <f>SUM(G48:P48)</f>
        <v>2561.07890625</v>
      </c>
      <c r="G48" s="43">
        <f aca="true" t="shared" si="12" ref="G48:P48">SUM(G44:G46)</f>
        <v>0</v>
      </c>
      <c r="H48" s="43">
        <f t="shared" si="12"/>
        <v>0</v>
      </c>
      <c r="I48" s="43">
        <f t="shared" si="12"/>
        <v>2561.07890625</v>
      </c>
      <c r="J48" s="43">
        <f t="shared" si="12"/>
        <v>0</v>
      </c>
      <c r="K48" s="43">
        <f t="shared" si="12"/>
        <v>0</v>
      </c>
      <c r="L48" s="43">
        <f t="shared" si="12"/>
        <v>0</v>
      </c>
      <c r="M48" s="43">
        <f t="shared" si="12"/>
        <v>0</v>
      </c>
      <c r="N48" s="43">
        <f t="shared" si="12"/>
        <v>0</v>
      </c>
      <c r="O48" s="43">
        <f t="shared" si="12"/>
        <v>0</v>
      </c>
      <c r="P48" s="43">
        <f t="shared" si="12"/>
        <v>0</v>
      </c>
    </row>
    <row r="49" spans="6:16" ht="15">
      <c r="F49" s="44" t="s">
        <v>560</v>
      </c>
      <c r="G49" s="44" t="s">
        <v>560</v>
      </c>
      <c r="H49" s="44" t="s">
        <v>560</v>
      </c>
      <c r="I49" s="44" t="s">
        <v>560</v>
      </c>
      <c r="J49" s="44" t="s">
        <v>560</v>
      </c>
      <c r="K49" s="44" t="s">
        <v>560</v>
      </c>
      <c r="L49" s="44" t="s">
        <v>560</v>
      </c>
      <c r="M49" s="44" t="s">
        <v>560</v>
      </c>
      <c r="N49" s="44" t="s">
        <v>560</v>
      </c>
      <c r="O49" s="44" t="s">
        <v>560</v>
      </c>
      <c r="P49" s="44" t="s">
        <v>560</v>
      </c>
    </row>
    <row r="50" spans="3:16" ht="15">
      <c r="C50" s="36" t="s">
        <v>563</v>
      </c>
      <c r="F50" s="43">
        <f>SUM(G50:P50)</f>
        <v>4796.632998409245</v>
      </c>
      <c r="G50" s="43">
        <f aca="true" t="shared" si="13" ref="G50:P50">G40-G48</f>
        <v>0</v>
      </c>
      <c r="H50" s="43">
        <f t="shared" si="13"/>
        <v>0</v>
      </c>
      <c r="I50" s="43">
        <f t="shared" si="13"/>
        <v>-2561.07890625</v>
      </c>
      <c r="J50" s="43">
        <f t="shared" si="13"/>
        <v>318.63919319999997</v>
      </c>
      <c r="K50" s="43">
        <f t="shared" si="13"/>
        <v>389.73556318275007</v>
      </c>
      <c r="L50" s="43">
        <f t="shared" si="13"/>
        <v>401.4276300782325</v>
      </c>
      <c r="M50" s="43">
        <f t="shared" si="13"/>
        <v>413.4704589805795</v>
      </c>
      <c r="N50" s="43">
        <f t="shared" si="13"/>
        <v>425.8745727499969</v>
      </c>
      <c r="O50" s="43">
        <f t="shared" si="13"/>
        <v>438.6508099324969</v>
      </c>
      <c r="P50" s="43">
        <f t="shared" si="13"/>
        <v>4969.91367653519</v>
      </c>
    </row>
    <row r="51" spans="3:16" ht="15">
      <c r="C51" s="36" t="s">
        <v>564</v>
      </c>
      <c r="G51" s="43">
        <f>G50</f>
        <v>0</v>
      </c>
      <c r="H51" s="43">
        <f aca="true" t="shared" si="14" ref="H51:P51">G51+H50</f>
        <v>0</v>
      </c>
      <c r="I51" s="43">
        <f t="shared" si="14"/>
        <v>-2561.07890625</v>
      </c>
      <c r="J51" s="43">
        <f t="shared" si="14"/>
        <v>-2242.4397130499997</v>
      </c>
      <c r="K51" s="43">
        <f t="shared" si="14"/>
        <v>-1852.7041498672497</v>
      </c>
      <c r="L51" s="43">
        <f t="shared" si="14"/>
        <v>-1451.2765197890171</v>
      </c>
      <c r="M51" s="43">
        <f t="shared" si="14"/>
        <v>-1037.8060608084377</v>
      </c>
      <c r="N51" s="43">
        <f t="shared" si="14"/>
        <v>-611.9314880584408</v>
      </c>
      <c r="O51" s="43">
        <f t="shared" si="14"/>
        <v>-173.2806781259439</v>
      </c>
      <c r="P51" s="43">
        <f t="shared" si="14"/>
        <v>4796.632998409245</v>
      </c>
    </row>
    <row r="54" spans="2:6" ht="15">
      <c r="B54" s="36">
        <v>0.2</v>
      </c>
      <c r="C54" s="45"/>
      <c r="D54" s="46"/>
      <c r="E54" s="47"/>
      <c r="F54" s="40"/>
    </row>
    <row r="55" spans="3:5" ht="15">
      <c r="C55" s="48" t="s">
        <v>566</v>
      </c>
      <c r="D55" s="49">
        <f>C!D41</f>
        <v>0.12</v>
      </c>
      <c r="E55" s="50">
        <f>NPV(D55,G50:P50)</f>
        <v>921.4954510630015</v>
      </c>
    </row>
    <row r="58" ht="18">
      <c r="C58" s="67" t="s">
        <v>672</v>
      </c>
    </row>
  </sheetData>
  <printOptions/>
  <pageMargins left="0.75" right="0.5" top="0.75" bottom="0.55" header="0.5" footer="0.5"/>
  <pageSetup fitToHeight="1" fitToWidth="1" horizontalDpi="600" verticalDpi="600" orientation="landscape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AF126"/>
  <sheetViews>
    <sheetView showGridLines="0" workbookViewId="0" topLeftCell="A1">
      <selection activeCell="A1" sqref="A1"/>
    </sheetView>
  </sheetViews>
  <sheetFormatPr defaultColWidth="9.796875" defaultRowHeight="15"/>
  <cols>
    <col min="1" max="16384" width="10.69921875" style="36" customWidth="1"/>
  </cols>
  <sheetData>
    <row r="1" ht="15.75">
      <c r="A1" s="35"/>
    </row>
    <row r="3" spans="10:17" ht="15">
      <c r="J3" s="52"/>
      <c r="K3" s="52"/>
      <c r="L3" s="52"/>
      <c r="M3" s="52"/>
      <c r="N3" s="52"/>
      <c r="O3" s="52"/>
      <c r="P3" s="52"/>
      <c r="Q3" s="52"/>
    </row>
    <row r="4" spans="10:17" ht="15">
      <c r="J4" s="52"/>
      <c r="K4" s="52"/>
      <c r="L4" s="52"/>
      <c r="M4" s="52"/>
      <c r="N4" s="52"/>
      <c r="O4" s="52"/>
      <c r="P4" s="52"/>
      <c r="Q4" s="52"/>
    </row>
    <row r="5" spans="10:17" ht="15.75">
      <c r="J5" s="52"/>
      <c r="K5" s="52"/>
      <c r="L5" s="52"/>
      <c r="M5" s="53"/>
      <c r="N5" s="52"/>
      <c r="O5" s="52"/>
      <c r="P5" s="52"/>
      <c r="Q5" s="52"/>
    </row>
    <row r="6" spans="10:17" ht="15">
      <c r="J6" s="52"/>
      <c r="K6" s="52"/>
      <c r="L6" s="52"/>
      <c r="M6" s="52"/>
      <c r="N6" s="52"/>
      <c r="O6" s="52"/>
      <c r="P6" s="52"/>
      <c r="Q6" s="52"/>
    </row>
    <row r="7" spans="10:17" ht="15.75">
      <c r="J7" s="52"/>
      <c r="K7" s="52"/>
      <c r="L7" s="54"/>
      <c r="M7" s="52"/>
      <c r="N7" s="52"/>
      <c r="O7" s="52"/>
      <c r="P7" s="52"/>
      <c r="Q7" s="52"/>
    </row>
    <row r="8" spans="1:17" ht="15.75">
      <c r="A8" s="35" t="s">
        <v>37</v>
      </c>
      <c r="J8" s="52"/>
      <c r="K8" s="52"/>
      <c r="L8" s="54"/>
      <c r="M8" s="52"/>
      <c r="N8" s="52"/>
      <c r="O8" s="52"/>
      <c r="P8" s="52"/>
      <c r="Q8" s="52"/>
    </row>
    <row r="9" spans="10:17" ht="15.75">
      <c r="J9" s="52"/>
      <c r="K9" s="52"/>
      <c r="L9" s="54"/>
      <c r="M9" s="52"/>
      <c r="N9" s="52"/>
      <c r="O9" s="52"/>
      <c r="P9" s="52"/>
      <c r="Q9" s="52"/>
    </row>
    <row r="10" spans="10:19" ht="15.75">
      <c r="J10" s="52"/>
      <c r="K10" s="52"/>
      <c r="L10" s="54"/>
      <c r="M10" s="52"/>
      <c r="N10" s="52"/>
      <c r="O10" s="52"/>
      <c r="P10" s="52"/>
      <c r="Q10" s="52"/>
      <c r="S10" s="35"/>
    </row>
    <row r="11" spans="3:19" ht="15.75">
      <c r="C11" s="35" t="s">
        <v>696</v>
      </c>
      <c r="J11" s="52"/>
      <c r="K11" s="52"/>
      <c r="L11" s="52"/>
      <c r="M11" s="52"/>
      <c r="N11" s="52"/>
      <c r="O11" s="52"/>
      <c r="P11" s="52"/>
      <c r="Q11" s="52"/>
      <c r="S11" s="35"/>
    </row>
    <row r="12" spans="3:19" ht="15.75">
      <c r="C12" s="35" t="str">
        <f>UPPER(A!M5)&amp;" PRO FORMA MODEL"</f>
        <v>SAMPLE RESORT COMPLEX PRO FORMA MODEL</v>
      </c>
      <c r="J12" s="52"/>
      <c r="K12" s="52"/>
      <c r="L12" s="52"/>
      <c r="M12" s="52"/>
      <c r="N12" s="52"/>
      <c r="O12" s="55"/>
      <c r="P12" s="52"/>
      <c r="Q12" s="52"/>
      <c r="S12" s="35"/>
    </row>
    <row r="13" spans="3:19" ht="15.75">
      <c r="C13" s="35" t="s">
        <v>525</v>
      </c>
      <c r="J13" s="52"/>
      <c r="K13" s="52"/>
      <c r="L13" s="52"/>
      <c r="M13" s="52"/>
      <c r="N13" s="52"/>
      <c r="O13" s="52"/>
      <c r="P13" s="52"/>
      <c r="Q13" s="52"/>
      <c r="S13" s="35"/>
    </row>
    <row r="14" spans="1:19" ht="15.75">
      <c r="A14" s="36" t="s">
        <v>526</v>
      </c>
      <c r="C14" s="36" t="str">
        <f>"Thousands of 2008 Dollars"</f>
        <v>Thousands of 2008 Dollars</v>
      </c>
      <c r="J14" s="52"/>
      <c r="K14" s="52"/>
      <c r="L14" s="52"/>
      <c r="M14" s="52"/>
      <c r="N14" s="52"/>
      <c r="O14" s="52"/>
      <c r="P14" s="52"/>
      <c r="Q14" s="52"/>
      <c r="S14" s="35"/>
    </row>
    <row r="15" spans="10:20" ht="15.75">
      <c r="J15" s="52"/>
      <c r="K15" s="52"/>
      <c r="L15" s="52"/>
      <c r="M15" s="52"/>
      <c r="N15" s="52"/>
      <c r="O15" s="52"/>
      <c r="P15" s="52"/>
      <c r="Q15" s="52"/>
      <c r="S15" s="35"/>
      <c r="T15" s="56"/>
    </row>
    <row r="16" spans="10:32" ht="15.75">
      <c r="J16" s="52"/>
      <c r="K16" s="52"/>
      <c r="L16" s="52"/>
      <c r="M16" s="52"/>
      <c r="N16" s="52"/>
      <c r="O16" s="52"/>
      <c r="P16" s="52"/>
      <c r="Q16" s="52"/>
      <c r="S16" s="35"/>
      <c r="T16" s="56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ht="15.75">
      <c r="C17" s="42" t="s">
        <v>527</v>
      </c>
      <c r="S17" s="35"/>
      <c r="W17" s="57"/>
      <c r="X17" s="57"/>
      <c r="Y17" s="57"/>
      <c r="Z17" s="57"/>
      <c r="AA17" s="57"/>
      <c r="AB17" s="57"/>
      <c r="AC17" s="57"/>
      <c r="AD17" s="57"/>
      <c r="AE17" s="57"/>
      <c r="AF17" s="57"/>
    </row>
    <row r="18" spans="19:32" ht="15.75">
      <c r="S18" s="35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</row>
    <row r="19" spans="3:19" ht="15.75">
      <c r="C19" s="36" t="s">
        <v>528</v>
      </c>
      <c r="H19" s="43"/>
      <c r="I19" s="43">
        <v>10000</v>
      </c>
      <c r="S19" s="35"/>
    </row>
    <row r="20" ht="15.75">
      <c r="S20" s="35"/>
    </row>
    <row r="21" spans="1:32" ht="15.75">
      <c r="A21" s="36" t="s">
        <v>529</v>
      </c>
      <c r="C21" s="36" t="str">
        <f>"Total Number of "&amp;PROPER(LANDUNIT)</f>
        <v>Total Number of Acres</v>
      </c>
      <c r="H21" s="59"/>
      <c r="I21" s="59">
        <v>500</v>
      </c>
      <c r="S21" s="35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</row>
    <row r="22" ht="15.75">
      <c r="S22" s="35"/>
    </row>
    <row r="23" spans="1:32" ht="15.75">
      <c r="A23" s="36" t="s">
        <v>530</v>
      </c>
      <c r="C23" s="36" t="s">
        <v>531</v>
      </c>
      <c r="H23" s="43"/>
      <c r="I23" s="43">
        <f>I19/I21</f>
        <v>20</v>
      </c>
      <c r="S23" s="35"/>
      <c r="W23" s="43"/>
      <c r="X23" s="43"/>
      <c r="Y23" s="43"/>
      <c r="Z23" s="43"/>
      <c r="AA23" s="43"/>
      <c r="AB23" s="43"/>
      <c r="AC23" s="43"/>
      <c r="AD23" s="43"/>
      <c r="AE23" s="43"/>
      <c r="AF23" s="43"/>
    </row>
    <row r="24" ht="15.75">
      <c r="S24" s="35"/>
    </row>
    <row r="25" ht="15.75">
      <c r="S25" s="35"/>
    </row>
    <row r="26" spans="3:19" ht="15.75">
      <c r="C26" s="42" t="s">
        <v>532</v>
      </c>
      <c r="S26" s="35"/>
    </row>
    <row r="27" spans="19:21" ht="15.75">
      <c r="S27" s="35"/>
      <c r="T27" s="56"/>
      <c r="U27" s="43"/>
    </row>
    <row r="28" spans="3:19" ht="15.75">
      <c r="C28" s="36" t="s">
        <v>533</v>
      </c>
      <c r="H28" s="43"/>
      <c r="I28" s="43">
        <v>2000</v>
      </c>
      <c r="S28" s="35"/>
    </row>
    <row r="29" spans="3:9" ht="15">
      <c r="C29" s="36" t="s">
        <v>534</v>
      </c>
      <c r="H29" s="43"/>
      <c r="I29" s="43">
        <v>3000</v>
      </c>
    </row>
    <row r="30" spans="8:9" ht="15">
      <c r="H30" s="43"/>
      <c r="I30" s="60" t="s">
        <v>535</v>
      </c>
    </row>
    <row r="31" spans="3:9" ht="15">
      <c r="C31" s="36" t="s">
        <v>536</v>
      </c>
      <c r="H31" s="43"/>
      <c r="I31" s="43">
        <f>TOTCOST</f>
        <v>5000</v>
      </c>
    </row>
    <row r="32" spans="5:9" ht="15">
      <c r="E32" s="61"/>
      <c r="H32" s="43"/>
      <c r="I32" s="43"/>
    </row>
    <row r="33" spans="3:9" ht="15">
      <c r="C33" s="36" t="s">
        <v>537</v>
      </c>
      <c r="E33" s="61">
        <v>0.2</v>
      </c>
      <c r="H33" s="43"/>
      <c r="I33" s="43">
        <f>I31*E33</f>
        <v>1000</v>
      </c>
    </row>
    <row r="34" spans="5:9" ht="15">
      <c r="E34" s="61"/>
      <c r="H34" s="43"/>
      <c r="I34" s="43"/>
    </row>
    <row r="35" spans="3:9" ht="15">
      <c r="C35" s="36" t="s">
        <v>538</v>
      </c>
      <c r="E35" s="61">
        <v>0.05</v>
      </c>
      <c r="H35" s="43"/>
      <c r="I35" s="43">
        <f>I31*E35</f>
        <v>250</v>
      </c>
    </row>
    <row r="36" spans="5:9" ht="15">
      <c r="E36" s="61"/>
      <c r="H36" s="43"/>
      <c r="I36" s="60" t="s">
        <v>535</v>
      </c>
    </row>
    <row r="37" spans="3:9" ht="15">
      <c r="C37" s="36" t="s">
        <v>539</v>
      </c>
      <c r="E37" s="61"/>
      <c r="H37" s="43"/>
      <c r="I37" s="43">
        <f>I31+I33+I35</f>
        <v>6250</v>
      </c>
    </row>
    <row r="38" spans="5:9" ht="15">
      <c r="E38" s="61"/>
      <c r="H38" s="43"/>
      <c r="I38" s="43"/>
    </row>
    <row r="39" spans="5:9" ht="15">
      <c r="E39" s="61"/>
      <c r="H39" s="43"/>
      <c r="I39" s="43"/>
    </row>
    <row r="40" ht="15">
      <c r="I40" s="43"/>
    </row>
    <row r="41" spans="5:9" ht="15">
      <c r="E41" s="61"/>
      <c r="I41" s="43"/>
    </row>
    <row r="70" ht="15.75">
      <c r="C70" s="35"/>
    </row>
    <row r="71" ht="15.75">
      <c r="C71" s="35"/>
    </row>
    <row r="72" ht="15.75">
      <c r="C72" s="35"/>
    </row>
    <row r="73" ht="15.75">
      <c r="C73" s="35"/>
    </row>
    <row r="77" ht="15">
      <c r="C77" s="58"/>
    </row>
    <row r="79" spans="3:9" ht="15">
      <c r="C79" s="58"/>
      <c r="F79" s="58"/>
      <c r="G79" s="58"/>
      <c r="H79" s="58"/>
      <c r="I79" s="58"/>
    </row>
    <row r="80" spans="6:9" ht="15">
      <c r="F80" s="40"/>
      <c r="G80" s="40"/>
      <c r="H80" s="40"/>
      <c r="I80" s="40"/>
    </row>
    <row r="81" spans="3:9" ht="15">
      <c r="C81" s="36" t="s">
        <v>540</v>
      </c>
      <c r="F81" s="36">
        <v>0</v>
      </c>
      <c r="G81" s="61"/>
      <c r="H81" s="61"/>
      <c r="I81" s="43"/>
    </row>
    <row r="82" spans="3:9" ht="15">
      <c r="C82" s="36" t="s">
        <v>541</v>
      </c>
      <c r="F82" s="36">
        <v>0</v>
      </c>
      <c r="G82" s="61"/>
      <c r="H82" s="61"/>
      <c r="I82" s="43"/>
    </row>
    <row r="83" spans="7:9" ht="15">
      <c r="G83" s="61"/>
      <c r="H83" s="61"/>
      <c r="I83" s="43"/>
    </row>
    <row r="84" spans="7:9" ht="15">
      <c r="G84" s="61"/>
      <c r="H84" s="61"/>
      <c r="I84" s="43"/>
    </row>
    <row r="85" spans="6:8" ht="15">
      <c r="F85" s="59"/>
      <c r="G85" s="61"/>
      <c r="H85" s="61"/>
    </row>
    <row r="86" spans="7:9" ht="15">
      <c r="G86" s="61"/>
      <c r="H86" s="61"/>
      <c r="I86" s="43"/>
    </row>
    <row r="88" spans="6:9" ht="15">
      <c r="F88" s="59"/>
      <c r="G88" s="61"/>
      <c r="H88" s="61"/>
      <c r="I88" s="43"/>
    </row>
    <row r="89" spans="6:8" ht="15">
      <c r="F89" s="59"/>
      <c r="G89" s="61"/>
      <c r="H89" s="61"/>
    </row>
    <row r="90" spans="6:9" ht="15">
      <c r="F90" s="59"/>
      <c r="G90" s="61"/>
      <c r="H90" s="61"/>
      <c r="I90" s="43"/>
    </row>
    <row r="91" ht="15">
      <c r="E91" s="59"/>
    </row>
    <row r="92" ht="15">
      <c r="E92" s="59"/>
    </row>
    <row r="93" spans="3:5" ht="15">
      <c r="C93" s="58"/>
      <c r="E93" s="59"/>
    </row>
    <row r="94" ht="15">
      <c r="E94" s="59"/>
    </row>
    <row r="95" spans="3:9" ht="15">
      <c r="C95" s="58"/>
      <c r="E95" s="59"/>
      <c r="F95" s="62"/>
      <c r="G95" s="58"/>
      <c r="H95" s="58"/>
      <c r="I95" s="58"/>
    </row>
    <row r="96" spans="5:9" ht="15">
      <c r="E96" s="59"/>
      <c r="G96" s="40"/>
      <c r="H96" s="40"/>
      <c r="I96" s="40"/>
    </row>
    <row r="97" spans="3:9" ht="15">
      <c r="C97" s="36" t="s">
        <v>540</v>
      </c>
      <c r="F97" s="63" t="s">
        <v>542</v>
      </c>
      <c r="H97" s="61">
        <v>0</v>
      </c>
      <c r="I97" s="43"/>
    </row>
    <row r="98" spans="3:9" ht="15">
      <c r="C98" s="36" t="s">
        <v>541</v>
      </c>
      <c r="F98" s="63" t="s">
        <v>542</v>
      </c>
      <c r="H98" s="61">
        <v>0</v>
      </c>
      <c r="I98" s="43"/>
    </row>
    <row r="99" spans="6:9" ht="15">
      <c r="F99" s="59"/>
      <c r="H99" s="61"/>
      <c r="I99" s="43"/>
    </row>
    <row r="100" spans="6:9" ht="15">
      <c r="F100" s="59"/>
      <c r="H100" s="61"/>
      <c r="I100" s="43"/>
    </row>
    <row r="101" spans="6:8" ht="15">
      <c r="F101" s="59"/>
      <c r="G101" s="61"/>
      <c r="H101" s="61"/>
    </row>
    <row r="102" spans="5:9" ht="15">
      <c r="E102" s="59"/>
      <c r="F102" s="59"/>
      <c r="G102" s="40"/>
      <c r="H102" s="61"/>
      <c r="I102" s="43"/>
    </row>
    <row r="103" spans="5:8" ht="15">
      <c r="E103" s="59"/>
      <c r="H103" s="40"/>
    </row>
    <row r="104" ht="15">
      <c r="E104" s="59"/>
    </row>
    <row r="105" ht="15">
      <c r="E105" s="59"/>
    </row>
    <row r="106" ht="15">
      <c r="E106" s="59"/>
    </row>
    <row r="107" ht="15">
      <c r="E107" s="59"/>
    </row>
    <row r="108" ht="15">
      <c r="E108" s="59"/>
    </row>
    <row r="109" ht="15">
      <c r="E109" s="59"/>
    </row>
    <row r="110" ht="15">
      <c r="E110" s="59"/>
    </row>
    <row r="111" ht="15">
      <c r="E111" s="59"/>
    </row>
    <row r="112" ht="15">
      <c r="E112" s="59"/>
    </row>
    <row r="113" ht="15">
      <c r="E113" s="59"/>
    </row>
    <row r="114" ht="15">
      <c r="E114" s="59"/>
    </row>
    <row r="115" ht="15">
      <c r="E115" s="59"/>
    </row>
    <row r="116" ht="15">
      <c r="E116" s="59"/>
    </row>
    <row r="117" ht="15">
      <c r="E117" s="59"/>
    </row>
    <row r="118" ht="15">
      <c r="E118" s="59"/>
    </row>
    <row r="119" ht="15">
      <c r="E119" s="59"/>
    </row>
    <row r="120" ht="15">
      <c r="E120" s="59"/>
    </row>
    <row r="121" ht="15">
      <c r="E121" s="59"/>
    </row>
    <row r="122" spans="3:5" ht="15">
      <c r="C122" s="36" t="s">
        <v>543</v>
      </c>
      <c r="E122" s="59"/>
    </row>
    <row r="123" ht="15">
      <c r="E123" s="59"/>
    </row>
    <row r="124" ht="15">
      <c r="E124" s="59"/>
    </row>
    <row r="125" ht="15">
      <c r="E125" s="59"/>
    </row>
    <row r="126" ht="15">
      <c r="E126" s="59"/>
    </row>
  </sheetData>
  <printOptions/>
  <pageMargins left="0.75" right="0.5" top="0.75" bottom="0.55" header="0.5" footer="0.5"/>
  <pageSetup fitToHeight="1" fitToWidth="1"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7:P41"/>
  <sheetViews>
    <sheetView showGridLines="0" workbookViewId="0" topLeftCell="A4">
      <selection activeCell="E7" sqref="E7"/>
    </sheetView>
  </sheetViews>
  <sheetFormatPr defaultColWidth="9.796875" defaultRowHeight="15"/>
  <cols>
    <col min="1" max="4" width="9.69921875" style="36" customWidth="1"/>
    <col min="5" max="5" width="14.8984375" style="36" customWidth="1"/>
    <col min="6" max="7" width="11.59765625" style="36" customWidth="1"/>
    <col min="8" max="9" width="12.09765625" style="36" customWidth="1"/>
    <col min="10" max="16" width="11.59765625" style="36" customWidth="1"/>
    <col min="17" max="16384" width="9.69921875" style="36" customWidth="1"/>
  </cols>
  <sheetData>
    <row r="7" ht="15.75">
      <c r="B7" s="35" t="s">
        <v>45</v>
      </c>
    </row>
    <row r="10" ht="15.75">
      <c r="C10" s="35" t="s">
        <v>697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46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.75">
      <c r="C21" s="42" t="s">
        <v>655</v>
      </c>
    </row>
    <row r="22" spans="3:16" ht="15">
      <c r="C22" s="36" t="s">
        <v>559</v>
      </c>
      <c r="F22" s="43">
        <f aca="true" t="shared" si="1" ref="F22:F28">SUM(G22:P22)</f>
        <v>21522.155122256</v>
      </c>
      <c r="G22" s="43">
        <f>D!G42</f>
        <v>0</v>
      </c>
      <c r="H22" s="43">
        <f>D!H42</f>
        <v>-2893.27</v>
      </c>
      <c r="I22" s="43">
        <f>D!I42</f>
        <v>4318.28736</v>
      </c>
      <c r="J22" s="43">
        <f>D!J42</f>
        <v>4927.980224600001</v>
      </c>
      <c r="K22" s="43">
        <f>D!K42</f>
        <v>5570.368202452</v>
      </c>
      <c r="L22" s="43">
        <f>D!L42</f>
        <v>9598.789335204001</v>
      </c>
      <c r="M22" s="43">
        <f>D!M42</f>
        <v>0</v>
      </c>
      <c r="N22" s="43">
        <f>D!N42</f>
        <v>0</v>
      </c>
      <c r="O22" s="43">
        <f>D!O42</f>
        <v>0</v>
      </c>
      <c r="P22" s="43">
        <f>D!P42</f>
        <v>0</v>
      </c>
    </row>
    <row r="23" spans="3:16" ht="15">
      <c r="C23" s="36" t="s">
        <v>558</v>
      </c>
      <c r="F23" s="43">
        <f t="shared" si="1"/>
        <v>21952.13806199999</v>
      </c>
      <c r="G23" s="43">
        <f>E!G43</f>
        <v>0</v>
      </c>
      <c r="H23" s="43">
        <f>E!H43</f>
        <v>-30688.85</v>
      </c>
      <c r="I23" s="43">
        <f>E!I43</f>
        <v>4936.898150000001</v>
      </c>
      <c r="J23" s="43">
        <f>E!J43</f>
        <v>6285.365703999989</v>
      </c>
      <c r="K23" s="43">
        <f>E!K43</f>
        <v>41418.724208</v>
      </c>
      <c r="L23" s="43">
        <f>E!L43</f>
        <v>0</v>
      </c>
      <c r="M23" s="43">
        <f>E!M43</f>
        <v>0</v>
      </c>
      <c r="N23" s="43">
        <f>E!N43</f>
        <v>0</v>
      </c>
      <c r="O23" s="43">
        <f>E!O43</f>
        <v>0</v>
      </c>
      <c r="P23" s="43">
        <f>E!P43</f>
        <v>0</v>
      </c>
    </row>
    <row r="24" spans="3:16" ht="15">
      <c r="C24" s="36" t="s">
        <v>83</v>
      </c>
      <c r="F24" s="43">
        <f t="shared" si="1"/>
        <v>25767.995657875006</v>
      </c>
      <c r="G24" s="43">
        <f>F!G43</f>
        <v>0</v>
      </c>
      <c r="H24" s="43">
        <f>F!H43</f>
        <v>-22475.115</v>
      </c>
      <c r="I24" s="43">
        <f>F!I43</f>
        <v>3636.765199999998</v>
      </c>
      <c r="J24" s="43">
        <f>F!J43</f>
        <v>4946.2287655</v>
      </c>
      <c r="K24" s="43">
        <f>F!K43</f>
        <v>6330.987056250004</v>
      </c>
      <c r="L24" s="43">
        <f>F!L43</f>
        <v>33329.129636125006</v>
      </c>
      <c r="M24" s="43">
        <f>F!M43</f>
        <v>0</v>
      </c>
      <c r="N24" s="43">
        <f>F!N43</f>
        <v>0</v>
      </c>
      <c r="O24" s="43">
        <f>F!O43</f>
        <v>0</v>
      </c>
      <c r="P24" s="43">
        <f>F!P43</f>
        <v>0</v>
      </c>
    </row>
    <row r="25" spans="3:16" ht="15">
      <c r="C25" s="36" t="s">
        <v>656</v>
      </c>
      <c r="F25" s="43">
        <f t="shared" si="1"/>
        <v>19179.953705097825</v>
      </c>
      <c r="G25" s="43">
        <f>G!G46</f>
        <v>0</v>
      </c>
      <c r="H25" s="43">
        <f>G!H46</f>
        <v>0</v>
      </c>
      <c r="I25" s="43">
        <f>G!I46</f>
        <v>-3933.8172</v>
      </c>
      <c r="J25" s="43">
        <f>G!J46</f>
        <v>3531.6936640000004</v>
      </c>
      <c r="K25" s="43">
        <f>G!K46</f>
        <v>5128.943647170003</v>
      </c>
      <c r="L25" s="43">
        <f>G!L46</f>
        <v>7551.5113199902</v>
      </c>
      <c r="M25" s="43">
        <f>G!M46</f>
        <v>6901.622273937621</v>
      </c>
      <c r="N25" s="43">
        <f>G!N46</f>
        <v>0</v>
      </c>
      <c r="O25" s="43">
        <f>G!O46</f>
        <v>0</v>
      </c>
      <c r="P25" s="43">
        <f>G!P46</f>
        <v>0</v>
      </c>
    </row>
    <row r="26" spans="3:16" ht="15">
      <c r="C26" s="36" t="s">
        <v>557</v>
      </c>
      <c r="F26" s="43">
        <f t="shared" si="1"/>
        <v>12428.992261395997</v>
      </c>
      <c r="G26" s="43">
        <f>J!G39</f>
        <v>0</v>
      </c>
      <c r="H26" s="43">
        <f>J!H39</f>
        <v>-7403.125</v>
      </c>
      <c r="I26" s="43">
        <f>J!I39</f>
        <v>-6406.87514455625</v>
      </c>
      <c r="J26" s="43">
        <f>J!J39</f>
        <v>2662.9388250661727</v>
      </c>
      <c r="K26" s="43">
        <f>J!K39</f>
        <v>2493.7249476860434</v>
      </c>
      <c r="L26" s="43">
        <f>J!L39</f>
        <v>3175.774497198806</v>
      </c>
      <c r="M26" s="43">
        <f>J!M39</f>
        <v>3829.8293662271785</v>
      </c>
      <c r="N26" s="43">
        <f>J!N39</f>
        <v>1177.5080500080367</v>
      </c>
      <c r="O26" s="43">
        <f>J!O39</f>
        <v>1212.8332915082788</v>
      </c>
      <c r="P26" s="43">
        <f>J!P39</f>
        <v>11686.383428257732</v>
      </c>
    </row>
    <row r="27" spans="3:16" ht="15">
      <c r="C27" s="36" t="s">
        <v>556</v>
      </c>
      <c r="F27" s="43">
        <f t="shared" si="1"/>
        <v>92962.30236072213</v>
      </c>
      <c r="G27" s="43">
        <f>L!G35</f>
        <v>0</v>
      </c>
      <c r="H27" s="43">
        <f>L!H35</f>
        <v>-38625</v>
      </c>
      <c r="I27" s="43">
        <f>L!I35</f>
        <v>3639.4577373417715</v>
      </c>
      <c r="J27" s="43">
        <f>L!J35</f>
        <v>5488.213878717344</v>
      </c>
      <c r="K27" s="43">
        <f>L!K35</f>
        <v>6236.176085377809</v>
      </c>
      <c r="L27" s="43">
        <f>L!L35</f>
        <v>6729.1309568886245</v>
      </c>
      <c r="M27" s="43">
        <f>L!M35</f>
        <v>7246.050562213255</v>
      </c>
      <c r="N27" s="43">
        <f>L!N35</f>
        <v>7463.432079079652</v>
      </c>
      <c r="O27" s="43">
        <f>L!O35</f>
        <v>7687.335041452041</v>
      </c>
      <c r="P27" s="43">
        <f>L!P35</f>
        <v>87097.50601965163</v>
      </c>
    </row>
    <row r="28" spans="3:16" ht="15">
      <c r="C28" s="36" t="s">
        <v>269</v>
      </c>
      <c r="F28" s="43">
        <f t="shared" si="1"/>
        <v>4796.632998409245</v>
      </c>
      <c r="G28" s="43">
        <f>M!G50</f>
        <v>0</v>
      </c>
      <c r="H28" s="43">
        <f>M!H50</f>
        <v>0</v>
      </c>
      <c r="I28" s="43">
        <f>M!I50</f>
        <v>-2561.07890625</v>
      </c>
      <c r="J28" s="43">
        <f>M!J50</f>
        <v>318.63919319999997</v>
      </c>
      <c r="K28" s="43">
        <f>M!K50</f>
        <v>389.73556318275007</v>
      </c>
      <c r="L28" s="43">
        <f>M!L50</f>
        <v>401.4276300782325</v>
      </c>
      <c r="M28" s="43">
        <f>M!M50</f>
        <v>413.4704589805795</v>
      </c>
      <c r="N28" s="43">
        <f>M!N50</f>
        <v>425.8745727499969</v>
      </c>
      <c r="O28" s="43">
        <f>M!O50</f>
        <v>438.6508099324969</v>
      </c>
      <c r="P28" s="43">
        <f>M!P50</f>
        <v>4969.91367653519</v>
      </c>
    </row>
    <row r="29" spans="6:16" ht="15">
      <c r="F29" s="44" t="s">
        <v>560</v>
      </c>
      <c r="G29" s="44" t="s">
        <v>560</v>
      </c>
      <c r="H29" s="44" t="s">
        <v>560</v>
      </c>
      <c r="I29" s="44" t="s">
        <v>560</v>
      </c>
      <c r="J29" s="44" t="s">
        <v>560</v>
      </c>
      <c r="K29" s="44" t="s">
        <v>560</v>
      </c>
      <c r="L29" s="44" t="s">
        <v>560</v>
      </c>
      <c r="M29" s="44" t="s">
        <v>560</v>
      </c>
      <c r="N29" s="44" t="s">
        <v>560</v>
      </c>
      <c r="O29" s="44" t="s">
        <v>560</v>
      </c>
      <c r="P29" s="44" t="s">
        <v>560</v>
      </c>
    </row>
    <row r="30" spans="3:16" ht="15">
      <c r="C30" s="36" t="s">
        <v>659</v>
      </c>
      <c r="F30" s="43">
        <f>SUM(G30:P30)</f>
        <v>198610.1701677562</v>
      </c>
      <c r="G30" s="43">
        <f>SUM(G22:G28)</f>
        <v>0</v>
      </c>
      <c r="H30" s="43">
        <f aca="true" t="shared" si="2" ref="H30:P30">SUM(H22:H28)</f>
        <v>-102085.36</v>
      </c>
      <c r="I30" s="43">
        <f t="shared" si="2"/>
        <v>3629.637196535521</v>
      </c>
      <c r="J30" s="43">
        <f t="shared" si="2"/>
        <v>28161.060255083506</v>
      </c>
      <c r="K30" s="43">
        <f t="shared" si="2"/>
        <v>67568.65971011862</v>
      </c>
      <c r="L30" s="43">
        <f t="shared" si="2"/>
        <v>60785.76337548487</v>
      </c>
      <c r="M30" s="43">
        <f t="shared" si="2"/>
        <v>18390.972661358635</v>
      </c>
      <c r="N30" s="43">
        <f t="shared" si="2"/>
        <v>9066.814701837686</v>
      </c>
      <c r="O30" s="43">
        <f t="shared" si="2"/>
        <v>9338.819142892817</v>
      </c>
      <c r="P30" s="43">
        <f t="shared" si="2"/>
        <v>103753.80312444454</v>
      </c>
    </row>
    <row r="32" spans="3:7" ht="15">
      <c r="C32" s="36" t="s">
        <v>561</v>
      </c>
      <c r="F32" s="43">
        <f>SUM(G32:P32)</f>
        <v>-10000</v>
      </c>
      <c r="G32" s="43">
        <f>-B!I19*G19</f>
        <v>-10000</v>
      </c>
    </row>
    <row r="33" spans="3:16" ht="15">
      <c r="C33" s="36" t="s">
        <v>562</v>
      </c>
      <c r="E33" s="43">
        <f>B!I37</f>
        <v>6250</v>
      </c>
      <c r="F33" s="43">
        <f>SUM(G33:P33)</f>
        <v>-6343.75</v>
      </c>
      <c r="G33" s="43">
        <f>-E33*0.5*G19</f>
        <v>-3125</v>
      </c>
      <c r="H33" s="43">
        <f>-E33*0.5*H19</f>
        <v>-3218.75</v>
      </c>
      <c r="I33" s="43">
        <v>0</v>
      </c>
      <c r="J33" s="43">
        <v>0</v>
      </c>
      <c r="K33" s="43">
        <v>0</v>
      </c>
      <c r="L33" s="43">
        <v>0</v>
      </c>
      <c r="M33" s="43">
        <v>0</v>
      </c>
      <c r="N33" s="43">
        <v>0</v>
      </c>
      <c r="O33" s="43">
        <v>0</v>
      </c>
      <c r="P33" s="43">
        <v>0</v>
      </c>
    </row>
    <row r="34" spans="3:16" ht="15">
      <c r="C34" s="36" t="s">
        <v>695</v>
      </c>
      <c r="E34" s="43"/>
      <c r="F34" s="43">
        <f>SUM(G34:P34)</f>
        <v>-2300</v>
      </c>
      <c r="G34" s="43">
        <v>-300</v>
      </c>
      <c r="H34" s="43">
        <v>-500</v>
      </c>
      <c r="I34" s="43">
        <v>-500</v>
      </c>
      <c r="J34" s="43">
        <v>-400</v>
      </c>
      <c r="K34" s="43">
        <v>-300</v>
      </c>
      <c r="L34" s="43">
        <v>-300</v>
      </c>
      <c r="M34" s="43">
        <v>0</v>
      </c>
      <c r="N34" s="43">
        <v>0</v>
      </c>
      <c r="O34" s="43">
        <v>0</v>
      </c>
      <c r="P34" s="43">
        <v>0</v>
      </c>
    </row>
    <row r="35" spans="6:16" ht="15">
      <c r="F35" s="44" t="s">
        <v>560</v>
      </c>
      <c r="G35" s="44" t="s">
        <v>560</v>
      </c>
      <c r="H35" s="44" t="s">
        <v>560</v>
      </c>
      <c r="I35" s="44" t="s">
        <v>560</v>
      </c>
      <c r="J35" s="44" t="s">
        <v>560</v>
      </c>
      <c r="K35" s="44" t="s">
        <v>560</v>
      </c>
      <c r="L35" s="44" t="s">
        <v>560</v>
      </c>
      <c r="M35" s="44" t="s">
        <v>560</v>
      </c>
      <c r="N35" s="44" t="s">
        <v>560</v>
      </c>
      <c r="O35" s="44" t="s">
        <v>560</v>
      </c>
      <c r="P35" s="44" t="s">
        <v>560</v>
      </c>
    </row>
    <row r="36" spans="3:16" ht="15">
      <c r="C36" s="36" t="s">
        <v>563</v>
      </c>
      <c r="F36" s="43">
        <f>F33+F32+F30</f>
        <v>182266.4201677562</v>
      </c>
      <c r="G36" s="43">
        <f aca="true" t="shared" si="3" ref="G36:P36">SUM(G30:G34)</f>
        <v>-13425</v>
      </c>
      <c r="H36" s="43">
        <f t="shared" si="3"/>
        <v>-105804.11</v>
      </c>
      <c r="I36" s="43">
        <f t="shared" si="3"/>
        <v>3129.637196535521</v>
      </c>
      <c r="J36" s="43">
        <f t="shared" si="3"/>
        <v>27761.060255083506</v>
      </c>
      <c r="K36" s="43">
        <f t="shared" si="3"/>
        <v>67268.65971011862</v>
      </c>
      <c r="L36" s="43">
        <f t="shared" si="3"/>
        <v>60485.76337548487</v>
      </c>
      <c r="M36" s="43">
        <f t="shared" si="3"/>
        <v>18390.972661358635</v>
      </c>
      <c r="N36" s="43">
        <f t="shared" si="3"/>
        <v>9066.814701837686</v>
      </c>
      <c r="O36" s="43">
        <f t="shared" si="3"/>
        <v>9338.819142892817</v>
      </c>
      <c r="P36" s="43">
        <f t="shared" si="3"/>
        <v>103753.80312444454</v>
      </c>
    </row>
    <row r="37" spans="3:16" ht="15">
      <c r="C37" s="36" t="s">
        <v>564</v>
      </c>
      <c r="G37" s="43">
        <f>G36</f>
        <v>-13425</v>
      </c>
      <c r="H37" s="43">
        <f aca="true" t="shared" si="4" ref="H37:P37">G37+H36</f>
        <v>-119229.11</v>
      </c>
      <c r="I37" s="43">
        <f t="shared" si="4"/>
        <v>-116099.47280346448</v>
      </c>
      <c r="J37" s="43">
        <f t="shared" si="4"/>
        <v>-88338.41254838098</v>
      </c>
      <c r="K37" s="43">
        <f t="shared" si="4"/>
        <v>-21069.752838262357</v>
      </c>
      <c r="L37" s="43">
        <f t="shared" si="4"/>
        <v>39416.010537222515</v>
      </c>
      <c r="M37" s="43">
        <f t="shared" si="4"/>
        <v>57806.98319858115</v>
      </c>
      <c r="N37" s="43">
        <f t="shared" si="4"/>
        <v>66873.79790041884</v>
      </c>
      <c r="O37" s="43">
        <f t="shared" si="4"/>
        <v>76212.61704331165</v>
      </c>
      <c r="P37" s="43">
        <f t="shared" si="4"/>
        <v>179966.4201677562</v>
      </c>
    </row>
    <row r="40" spans="2:5" ht="15">
      <c r="B40" s="36">
        <v>0.2</v>
      </c>
      <c r="C40" s="45" t="s">
        <v>565</v>
      </c>
      <c r="D40" s="46"/>
      <c r="E40" s="47">
        <f>IRR(G36:P36,B40)</f>
        <v>0.21160630857200954</v>
      </c>
    </row>
    <row r="41" spans="3:5" ht="15">
      <c r="C41" s="48" t="s">
        <v>566</v>
      </c>
      <c r="D41" s="49">
        <v>0.12</v>
      </c>
      <c r="E41" s="50">
        <f>NPV(D41,G36:P36)</f>
        <v>41105.98398132587</v>
      </c>
    </row>
  </sheetData>
  <printOptions/>
  <pageMargins left="0.75" right="0.5" top="0.75" bottom="0.55" header="0.5" footer="0.5"/>
  <pageSetup fitToHeight="1" fitToWidth="1" horizontalDpi="600" verticalDpi="600" orientation="landscape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0:P51"/>
  <sheetViews>
    <sheetView showGridLines="0" workbookViewId="0" topLeftCell="C7">
      <selection activeCell="C14" sqref="C14"/>
    </sheetView>
  </sheetViews>
  <sheetFormatPr defaultColWidth="9.796875" defaultRowHeight="15"/>
  <cols>
    <col min="1" max="4" width="9.69921875" style="36" customWidth="1"/>
    <col min="5" max="5" width="11.09765625" style="36" customWidth="1"/>
    <col min="6" max="16" width="11.59765625" style="36" customWidth="1"/>
    <col min="17" max="16384" width="9.69921875" style="36" customWidth="1"/>
  </cols>
  <sheetData>
    <row r="10" ht="15.75">
      <c r="C10" s="35" t="s">
        <v>698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701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/>
      <c r="H17" s="40"/>
      <c r="I17" s="40"/>
      <c r="J17" s="40"/>
      <c r="K17" s="40"/>
      <c r="L17" s="40"/>
      <c r="M17" s="40"/>
      <c r="N17" s="40"/>
      <c r="O17" s="40"/>
      <c r="P17" s="40"/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567</v>
      </c>
    </row>
    <row r="22" spans="3:16" ht="15">
      <c r="C22" s="36" t="s">
        <v>568</v>
      </c>
      <c r="F22" s="59">
        <f>SUM(G22:P22)</f>
        <v>200</v>
      </c>
      <c r="G22" s="59">
        <v>0</v>
      </c>
      <c r="H22" s="59">
        <v>0</v>
      </c>
      <c r="I22" s="59">
        <v>50</v>
      </c>
      <c r="J22" s="59">
        <v>50</v>
      </c>
      <c r="K22" s="59">
        <v>50</v>
      </c>
      <c r="L22" s="59">
        <v>50</v>
      </c>
      <c r="M22" s="59">
        <v>0</v>
      </c>
      <c r="N22" s="59">
        <v>0</v>
      </c>
      <c r="O22" s="59">
        <v>0</v>
      </c>
      <c r="P22" s="59">
        <v>0</v>
      </c>
    </row>
    <row r="23" spans="3:16" ht="15">
      <c r="C23" s="36" t="s">
        <v>569</v>
      </c>
      <c r="F23" s="43"/>
      <c r="G23" s="43">
        <v>0</v>
      </c>
      <c r="H23" s="43">
        <v>0</v>
      </c>
      <c r="I23" s="43">
        <v>150</v>
      </c>
      <c r="J23" s="43">
        <v>160</v>
      </c>
      <c r="K23" s="43">
        <v>170</v>
      </c>
      <c r="L23" s="43">
        <v>180</v>
      </c>
      <c r="M23" s="43">
        <v>0</v>
      </c>
      <c r="N23" s="43">
        <v>0</v>
      </c>
      <c r="O23" s="43">
        <v>0</v>
      </c>
      <c r="P23" s="43">
        <v>0</v>
      </c>
    </row>
    <row r="25" ht="15">
      <c r="C25" s="58" t="s">
        <v>660</v>
      </c>
    </row>
    <row r="26" spans="3:16" ht="15">
      <c r="C26" s="36" t="s">
        <v>570</v>
      </c>
      <c r="F26" s="43">
        <f>SUM(G26:P26)</f>
        <v>36698.8575537</v>
      </c>
      <c r="G26" s="43">
        <f aca="true" t="shared" si="1" ref="G26:P26">G22*G23*G19</f>
        <v>0</v>
      </c>
      <c r="H26" s="43">
        <f t="shared" si="1"/>
        <v>0</v>
      </c>
      <c r="I26" s="43">
        <f t="shared" si="1"/>
        <v>7956.75</v>
      </c>
      <c r="J26" s="43">
        <f t="shared" si="1"/>
        <v>8741.816</v>
      </c>
      <c r="K26" s="43">
        <f t="shared" si="1"/>
        <v>9566.824885000002</v>
      </c>
      <c r="L26" s="43">
        <f t="shared" si="1"/>
        <v>10433.4666687</v>
      </c>
      <c r="M26" s="43">
        <f t="shared" si="1"/>
        <v>0</v>
      </c>
      <c r="N26" s="43">
        <f t="shared" si="1"/>
        <v>0</v>
      </c>
      <c r="O26" s="43">
        <f t="shared" si="1"/>
        <v>0</v>
      </c>
      <c r="P26" s="43">
        <f t="shared" si="1"/>
        <v>0</v>
      </c>
    </row>
    <row r="28" spans="3:16" ht="15">
      <c r="C28" s="36" t="s">
        <v>571</v>
      </c>
      <c r="E28" s="56">
        <v>0.06</v>
      </c>
      <c r="F28" s="43">
        <f>SUM(G28:P28)</f>
        <v>2201.931453222</v>
      </c>
      <c r="G28" s="43">
        <f aca="true" t="shared" si="2" ref="G28:P28">G26*$E$28</f>
        <v>0</v>
      </c>
      <c r="H28" s="43">
        <f t="shared" si="2"/>
        <v>0</v>
      </c>
      <c r="I28" s="43">
        <f t="shared" si="2"/>
        <v>477.405</v>
      </c>
      <c r="J28" s="43">
        <f t="shared" si="2"/>
        <v>524.50896</v>
      </c>
      <c r="K28" s="43">
        <f t="shared" si="2"/>
        <v>574.0094931000001</v>
      </c>
      <c r="L28" s="43">
        <f t="shared" si="2"/>
        <v>626.008000122</v>
      </c>
      <c r="M28" s="43">
        <f t="shared" si="2"/>
        <v>0</v>
      </c>
      <c r="N28" s="43">
        <f t="shared" si="2"/>
        <v>0</v>
      </c>
      <c r="O28" s="43">
        <f t="shared" si="2"/>
        <v>0</v>
      </c>
      <c r="P28" s="43">
        <f t="shared" si="2"/>
        <v>0</v>
      </c>
    </row>
    <row r="29" spans="3:16" ht="15">
      <c r="C29" s="36" t="s">
        <v>572</v>
      </c>
      <c r="E29" s="56">
        <v>0.02</v>
      </c>
      <c r="F29" s="43">
        <f>SUM(G29:P29)</f>
        <v>733.977151074</v>
      </c>
      <c r="G29" s="43">
        <f aca="true" t="shared" si="3" ref="G29:P29">G26*$E$29</f>
        <v>0</v>
      </c>
      <c r="H29" s="43">
        <f t="shared" si="3"/>
        <v>0</v>
      </c>
      <c r="I29" s="43">
        <f t="shared" si="3"/>
        <v>159.135</v>
      </c>
      <c r="J29" s="43">
        <f t="shared" si="3"/>
        <v>174.83632000000003</v>
      </c>
      <c r="K29" s="43">
        <f t="shared" si="3"/>
        <v>191.33649770000005</v>
      </c>
      <c r="L29" s="43">
        <f t="shared" si="3"/>
        <v>208.66933337400002</v>
      </c>
      <c r="M29" s="43">
        <f t="shared" si="3"/>
        <v>0</v>
      </c>
      <c r="N29" s="43">
        <f t="shared" si="3"/>
        <v>0</v>
      </c>
      <c r="O29" s="43">
        <f t="shared" si="3"/>
        <v>0</v>
      </c>
      <c r="P29" s="43">
        <f t="shared" si="3"/>
        <v>0</v>
      </c>
    </row>
    <row r="30" spans="3:16" ht="15">
      <c r="C30" s="36" t="s">
        <v>573</v>
      </c>
      <c r="E30" s="56">
        <v>0.04</v>
      </c>
      <c r="F30" s="43">
        <f>SUM(G30:P30)</f>
        <v>1467.954302148</v>
      </c>
      <c r="G30" s="43">
        <f aca="true" t="shared" si="4" ref="G30:P30">H26*$E$30</f>
        <v>0</v>
      </c>
      <c r="H30" s="43">
        <f t="shared" si="4"/>
        <v>318.27</v>
      </c>
      <c r="I30" s="43">
        <f t="shared" si="4"/>
        <v>349.67264000000006</v>
      </c>
      <c r="J30" s="43">
        <f t="shared" si="4"/>
        <v>382.6729954000001</v>
      </c>
      <c r="K30" s="43">
        <f t="shared" si="4"/>
        <v>417.33866674800004</v>
      </c>
      <c r="L30" s="43">
        <f t="shared" si="4"/>
        <v>0</v>
      </c>
      <c r="M30" s="43">
        <f t="shared" si="4"/>
        <v>0</v>
      </c>
      <c r="N30" s="43">
        <f t="shared" si="4"/>
        <v>0</v>
      </c>
      <c r="O30" s="43">
        <f t="shared" si="4"/>
        <v>0</v>
      </c>
      <c r="P30" s="43">
        <f t="shared" si="4"/>
        <v>0</v>
      </c>
    </row>
    <row r="31" spans="6:16" ht="15">
      <c r="F31" s="44" t="s">
        <v>560</v>
      </c>
      <c r="G31" s="44" t="s">
        <v>560</v>
      </c>
      <c r="H31" s="44" t="s">
        <v>560</v>
      </c>
      <c r="I31" s="44" t="s">
        <v>560</v>
      </c>
      <c r="J31" s="44" t="s">
        <v>560</v>
      </c>
      <c r="K31" s="44" t="s">
        <v>560</v>
      </c>
      <c r="L31" s="44" t="s">
        <v>560</v>
      </c>
      <c r="M31" s="44" t="s">
        <v>560</v>
      </c>
      <c r="N31" s="44" t="s">
        <v>560</v>
      </c>
      <c r="O31" s="44" t="s">
        <v>560</v>
      </c>
      <c r="P31" s="44" t="s">
        <v>560</v>
      </c>
    </row>
    <row r="32" spans="3:16" ht="15">
      <c r="C32" s="36" t="s">
        <v>574</v>
      </c>
      <c r="F32" s="43">
        <f>SUM(G32:P32)</f>
        <v>32294.994647256</v>
      </c>
      <c r="G32" s="43">
        <f aca="true" t="shared" si="5" ref="G32:P32">G26-G28-G29-G30</f>
        <v>0</v>
      </c>
      <c r="H32" s="43">
        <f t="shared" si="5"/>
        <v>-318.27</v>
      </c>
      <c r="I32" s="43">
        <f t="shared" si="5"/>
        <v>6970.53736</v>
      </c>
      <c r="J32" s="43">
        <f t="shared" si="5"/>
        <v>7659.797724600001</v>
      </c>
      <c r="K32" s="43">
        <f t="shared" si="5"/>
        <v>8384.140227452</v>
      </c>
      <c r="L32" s="43">
        <f t="shared" si="5"/>
        <v>9598.789335204001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</row>
    <row r="34" spans="3:5" ht="15">
      <c r="C34" s="58" t="s">
        <v>575</v>
      </c>
      <c r="E34" s="41" t="s">
        <v>576</v>
      </c>
    </row>
    <row r="35" spans="3:16" ht="15">
      <c r="C35" s="36" t="s">
        <v>577</v>
      </c>
      <c r="E35" s="43">
        <v>40</v>
      </c>
      <c r="F35" s="43">
        <f>SUM(G35:P35)</f>
        <v>8618.271620000001</v>
      </c>
      <c r="G35" s="43">
        <f>$E$35*G19*H22</f>
        <v>0</v>
      </c>
      <c r="H35" s="43">
        <f aca="true" t="shared" si="6" ref="H35:P35">$E$35*H19*I22</f>
        <v>2060</v>
      </c>
      <c r="I35" s="43">
        <f t="shared" si="6"/>
        <v>2121.8</v>
      </c>
      <c r="J35" s="43">
        <f t="shared" si="6"/>
        <v>2185.454</v>
      </c>
      <c r="K35" s="43">
        <f t="shared" si="6"/>
        <v>2251.0176200000005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</row>
    <row r="37" spans="3:16" ht="15">
      <c r="C37" s="36" t="s">
        <v>578</v>
      </c>
      <c r="E37" s="56">
        <v>0.2</v>
      </c>
      <c r="F37" s="43">
        <f>SUM(G37:P37)</f>
        <v>1723.654324</v>
      </c>
      <c r="G37" s="43">
        <f aca="true" t="shared" si="7" ref="G37:P37">G35*$E$37</f>
        <v>0</v>
      </c>
      <c r="H37" s="43">
        <f t="shared" si="7"/>
        <v>412</v>
      </c>
      <c r="I37" s="43">
        <f t="shared" si="7"/>
        <v>424.36000000000007</v>
      </c>
      <c r="J37" s="43">
        <f t="shared" si="7"/>
        <v>437.09080000000006</v>
      </c>
      <c r="K37" s="43">
        <f t="shared" si="7"/>
        <v>450.20352400000013</v>
      </c>
      <c r="L37" s="43">
        <f t="shared" si="7"/>
        <v>0</v>
      </c>
      <c r="M37" s="43">
        <f t="shared" si="7"/>
        <v>0</v>
      </c>
      <c r="N37" s="43">
        <f t="shared" si="7"/>
        <v>0</v>
      </c>
      <c r="O37" s="43">
        <f t="shared" si="7"/>
        <v>0</v>
      </c>
      <c r="P37" s="43">
        <f t="shared" si="7"/>
        <v>0</v>
      </c>
    </row>
    <row r="38" spans="3:16" ht="15">
      <c r="C38" s="36" t="s">
        <v>538</v>
      </c>
      <c r="E38" s="56">
        <v>0.05</v>
      </c>
      <c r="F38" s="43">
        <f>SUM(G38:P38)</f>
        <v>430.913581</v>
      </c>
      <c r="G38" s="43">
        <f aca="true" t="shared" si="8" ref="G38:P38">G35*$E$38</f>
        <v>0</v>
      </c>
      <c r="H38" s="43">
        <f t="shared" si="8"/>
        <v>103</v>
      </c>
      <c r="I38" s="43">
        <f t="shared" si="8"/>
        <v>106.09000000000002</v>
      </c>
      <c r="J38" s="43">
        <f t="shared" si="8"/>
        <v>109.27270000000001</v>
      </c>
      <c r="K38" s="43">
        <f t="shared" si="8"/>
        <v>112.55088100000003</v>
      </c>
      <c r="L38" s="43">
        <f t="shared" si="8"/>
        <v>0</v>
      </c>
      <c r="M38" s="43">
        <f t="shared" si="8"/>
        <v>0</v>
      </c>
      <c r="N38" s="43">
        <f t="shared" si="8"/>
        <v>0</v>
      </c>
      <c r="O38" s="43">
        <f t="shared" si="8"/>
        <v>0</v>
      </c>
      <c r="P38" s="43">
        <f t="shared" si="8"/>
        <v>0</v>
      </c>
    </row>
    <row r="39" spans="6:16" ht="15">
      <c r="F39" s="44" t="s">
        <v>560</v>
      </c>
      <c r="G39" s="44" t="s">
        <v>560</v>
      </c>
      <c r="H39" s="44" t="s">
        <v>560</v>
      </c>
      <c r="I39" s="44" t="s">
        <v>560</v>
      </c>
      <c r="J39" s="44" t="s">
        <v>560</v>
      </c>
      <c r="K39" s="44" t="s">
        <v>560</v>
      </c>
      <c r="L39" s="44" t="s">
        <v>560</v>
      </c>
      <c r="M39" s="44" t="s">
        <v>560</v>
      </c>
      <c r="N39" s="44" t="s">
        <v>560</v>
      </c>
      <c r="O39" s="44" t="s">
        <v>560</v>
      </c>
      <c r="P39" s="44" t="s">
        <v>560</v>
      </c>
    </row>
    <row r="40" spans="3:16" ht="15">
      <c r="C40" s="36" t="s">
        <v>579</v>
      </c>
      <c r="F40" s="43">
        <f>SUM(G40:P40)</f>
        <v>10772.839525000001</v>
      </c>
      <c r="G40" s="43">
        <f aca="true" t="shared" si="9" ref="G40:P40">SUM(G35:G38)</f>
        <v>0</v>
      </c>
      <c r="H40" s="43">
        <f t="shared" si="9"/>
        <v>2575</v>
      </c>
      <c r="I40" s="43">
        <f t="shared" si="9"/>
        <v>2652.2500000000005</v>
      </c>
      <c r="J40" s="43">
        <f t="shared" si="9"/>
        <v>2731.8175</v>
      </c>
      <c r="K40" s="43">
        <f t="shared" si="9"/>
        <v>2813.7720250000007</v>
      </c>
      <c r="L40" s="43">
        <f t="shared" si="9"/>
        <v>0</v>
      </c>
      <c r="M40" s="43">
        <f t="shared" si="9"/>
        <v>0</v>
      </c>
      <c r="N40" s="43">
        <f t="shared" si="9"/>
        <v>0</v>
      </c>
      <c r="O40" s="43">
        <f t="shared" si="9"/>
        <v>0</v>
      </c>
      <c r="P40" s="43">
        <f t="shared" si="9"/>
        <v>0</v>
      </c>
    </row>
    <row r="41" spans="6:16" ht="15">
      <c r="F41" s="44" t="s">
        <v>560</v>
      </c>
      <c r="G41" s="44" t="s">
        <v>560</v>
      </c>
      <c r="H41" s="44" t="s">
        <v>560</v>
      </c>
      <c r="I41" s="44" t="s">
        <v>560</v>
      </c>
      <c r="J41" s="44" t="s">
        <v>560</v>
      </c>
      <c r="K41" s="44" t="s">
        <v>560</v>
      </c>
      <c r="L41" s="44" t="s">
        <v>560</v>
      </c>
      <c r="M41" s="44" t="s">
        <v>560</v>
      </c>
      <c r="N41" s="44" t="s">
        <v>560</v>
      </c>
      <c r="O41" s="44" t="s">
        <v>560</v>
      </c>
      <c r="P41" s="44" t="s">
        <v>560</v>
      </c>
    </row>
    <row r="42" spans="3:16" ht="15">
      <c r="C42" s="36" t="s">
        <v>563</v>
      </c>
      <c r="F42" s="43">
        <f>SUM(G42:P42)</f>
        <v>21522.155122256</v>
      </c>
      <c r="G42" s="43">
        <f aca="true" t="shared" si="10" ref="G42:P42">G32-G40</f>
        <v>0</v>
      </c>
      <c r="H42" s="43">
        <f t="shared" si="10"/>
        <v>-2893.27</v>
      </c>
      <c r="I42" s="43">
        <f t="shared" si="10"/>
        <v>4318.28736</v>
      </c>
      <c r="J42" s="43">
        <f t="shared" si="10"/>
        <v>4927.980224600001</v>
      </c>
      <c r="K42" s="43">
        <f t="shared" si="10"/>
        <v>5570.368202452</v>
      </c>
      <c r="L42" s="43">
        <f t="shared" si="10"/>
        <v>9598.789335204001</v>
      </c>
      <c r="M42" s="43">
        <f t="shared" si="10"/>
        <v>0</v>
      </c>
      <c r="N42" s="43">
        <f t="shared" si="10"/>
        <v>0</v>
      </c>
      <c r="O42" s="43">
        <f t="shared" si="10"/>
        <v>0</v>
      </c>
      <c r="P42" s="43">
        <f t="shared" si="10"/>
        <v>0</v>
      </c>
    </row>
    <row r="43" spans="3:16" ht="15">
      <c r="C43" s="36" t="s">
        <v>564</v>
      </c>
      <c r="G43" s="43">
        <f>G42</f>
        <v>0</v>
      </c>
      <c r="H43" s="43">
        <f aca="true" t="shared" si="11" ref="H43:P43">G43+H42</f>
        <v>-2893.27</v>
      </c>
      <c r="I43" s="43">
        <f t="shared" si="11"/>
        <v>1425.0173600000003</v>
      </c>
      <c r="J43" s="43">
        <f t="shared" si="11"/>
        <v>6352.997584600002</v>
      </c>
      <c r="K43" s="43">
        <f t="shared" si="11"/>
        <v>11923.365787052002</v>
      </c>
      <c r="L43" s="43">
        <f t="shared" si="11"/>
        <v>21522.155122256</v>
      </c>
      <c r="M43" s="43">
        <f t="shared" si="11"/>
        <v>21522.155122256</v>
      </c>
      <c r="N43" s="43">
        <f t="shared" si="11"/>
        <v>21522.155122256</v>
      </c>
      <c r="O43" s="43">
        <f t="shared" si="11"/>
        <v>21522.155122256</v>
      </c>
      <c r="P43" s="43">
        <f t="shared" si="11"/>
        <v>21522.155122256</v>
      </c>
    </row>
    <row r="46" spans="3:6" ht="15">
      <c r="C46" s="45"/>
      <c r="D46" s="46"/>
      <c r="E46" s="47"/>
      <c r="F46" s="40" t="b">
        <f>ISERR(E46)</f>
        <v>0</v>
      </c>
    </row>
    <row r="47" spans="3:5" ht="15">
      <c r="C47" s="48" t="s">
        <v>566</v>
      </c>
      <c r="D47" s="49">
        <f>C!D41</f>
        <v>0.12</v>
      </c>
      <c r="E47" s="50">
        <f>NPV(D47,G42:P42)</f>
        <v>11922.816957034594</v>
      </c>
    </row>
    <row r="51" ht="15">
      <c r="C51" s="36" t="s">
        <v>543</v>
      </c>
    </row>
  </sheetData>
  <printOptions/>
  <pageMargins left="0.75" right="0.5" top="0.75" bottom="0.55" header="0.5" footer="0.5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52"/>
  <sheetViews>
    <sheetView showGridLines="0" workbookViewId="0" topLeftCell="A1">
      <selection activeCell="C14" sqref="C14"/>
    </sheetView>
  </sheetViews>
  <sheetFormatPr defaultColWidth="9.796875" defaultRowHeight="15"/>
  <cols>
    <col min="1" max="3" width="9.69921875" style="36" customWidth="1"/>
    <col min="4" max="4" width="12" style="36" customWidth="1"/>
    <col min="5" max="5" width="11.09765625" style="36" customWidth="1"/>
    <col min="6" max="16" width="11.59765625" style="36" customWidth="1"/>
    <col min="17" max="16384" width="9.69921875" style="36" customWidth="1"/>
  </cols>
  <sheetData>
    <row r="10" ht="15.75">
      <c r="C10" s="35" t="s">
        <v>699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703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567</v>
      </c>
    </row>
    <row r="22" spans="3:16" ht="15">
      <c r="C22" s="36" t="s">
        <v>568</v>
      </c>
      <c r="F22" s="59">
        <f>SUM(G22:P22)</f>
        <v>150</v>
      </c>
      <c r="G22" s="59">
        <v>0</v>
      </c>
      <c r="H22" s="59">
        <v>0</v>
      </c>
      <c r="I22" s="59">
        <v>50</v>
      </c>
      <c r="J22" s="59">
        <v>50</v>
      </c>
      <c r="K22" s="59">
        <v>50</v>
      </c>
      <c r="L22" s="59">
        <v>0</v>
      </c>
      <c r="M22" s="59">
        <v>0</v>
      </c>
      <c r="N22" s="59">
        <v>0</v>
      </c>
      <c r="O22" s="59">
        <v>0</v>
      </c>
      <c r="P22" s="59">
        <v>0</v>
      </c>
    </row>
    <row r="23" spans="3:16" ht="15">
      <c r="C23" s="36" t="s">
        <v>580</v>
      </c>
      <c r="F23" s="43"/>
      <c r="G23" s="43">
        <v>0</v>
      </c>
      <c r="H23" s="43">
        <v>0</v>
      </c>
      <c r="I23" s="43">
        <v>750</v>
      </c>
      <c r="J23" s="43">
        <v>775</v>
      </c>
      <c r="K23" s="43">
        <v>800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</row>
    <row r="25" ht="15">
      <c r="C25" s="58" t="s">
        <v>660</v>
      </c>
    </row>
    <row r="26" spans="3:16" ht="15">
      <c r="C26" s="36" t="s">
        <v>570</v>
      </c>
      <c r="F26" s="43">
        <f>SUM(G26:P26)</f>
        <v>127147.27365</v>
      </c>
      <c r="G26" s="43">
        <f>G22*G23*G19</f>
        <v>0</v>
      </c>
      <c r="H26" s="43">
        <f aca="true" t="shared" si="1" ref="H26:P26">H22*H23*H19</f>
        <v>0</v>
      </c>
      <c r="I26" s="43">
        <f t="shared" si="1"/>
        <v>39783.75</v>
      </c>
      <c r="J26" s="43">
        <f t="shared" si="1"/>
        <v>42343.17125</v>
      </c>
      <c r="K26" s="43">
        <f t="shared" si="1"/>
        <v>45020.3524</v>
      </c>
      <c r="L26" s="43">
        <f t="shared" si="1"/>
        <v>0</v>
      </c>
      <c r="M26" s="43">
        <f t="shared" si="1"/>
        <v>0</v>
      </c>
      <c r="N26" s="43">
        <f t="shared" si="1"/>
        <v>0</v>
      </c>
      <c r="O26" s="43">
        <f t="shared" si="1"/>
        <v>0</v>
      </c>
      <c r="P26" s="43">
        <f t="shared" si="1"/>
        <v>0</v>
      </c>
    </row>
    <row r="28" spans="3:16" ht="15">
      <c r="C28" s="36" t="s">
        <v>581</v>
      </c>
      <c r="E28" s="56">
        <f>D!E28</f>
        <v>0.06</v>
      </c>
      <c r="F28" s="43">
        <f>SUM(G28:P28)</f>
        <v>7628.836419</v>
      </c>
      <c r="G28" s="43">
        <f aca="true" t="shared" si="2" ref="G28:P28">G26*$E$28</f>
        <v>0</v>
      </c>
      <c r="H28" s="43">
        <f t="shared" si="2"/>
        <v>0</v>
      </c>
      <c r="I28" s="43">
        <f t="shared" si="2"/>
        <v>2387.025</v>
      </c>
      <c r="J28" s="43">
        <f t="shared" si="2"/>
        <v>2540.590275</v>
      </c>
      <c r="K28" s="43">
        <f t="shared" si="2"/>
        <v>2701.221144</v>
      </c>
      <c r="L28" s="43">
        <f t="shared" si="2"/>
        <v>0</v>
      </c>
      <c r="M28" s="43">
        <f t="shared" si="2"/>
        <v>0</v>
      </c>
      <c r="N28" s="43">
        <f t="shared" si="2"/>
        <v>0</v>
      </c>
      <c r="O28" s="43">
        <f t="shared" si="2"/>
        <v>0</v>
      </c>
      <c r="P28" s="43">
        <f t="shared" si="2"/>
        <v>0</v>
      </c>
    </row>
    <row r="29" spans="3:16" ht="15">
      <c r="C29" s="36" t="s">
        <v>582</v>
      </c>
      <c r="E29" s="56">
        <f>D!E29</f>
        <v>0.02</v>
      </c>
      <c r="F29" s="43">
        <f>SUM(G29:P29)</f>
        <v>2542.945473</v>
      </c>
      <c r="G29" s="43">
        <f aca="true" t="shared" si="3" ref="G29:P29">G26*$E$29</f>
        <v>0</v>
      </c>
      <c r="H29" s="43">
        <f t="shared" si="3"/>
        <v>0</v>
      </c>
      <c r="I29" s="43">
        <f t="shared" si="3"/>
        <v>795.6750000000001</v>
      </c>
      <c r="J29" s="43">
        <f t="shared" si="3"/>
        <v>846.863425</v>
      </c>
      <c r="K29" s="43">
        <f t="shared" si="3"/>
        <v>900.407048</v>
      </c>
      <c r="L29" s="43">
        <f t="shared" si="3"/>
        <v>0</v>
      </c>
      <c r="M29" s="43">
        <f t="shared" si="3"/>
        <v>0</v>
      </c>
      <c r="N29" s="43">
        <f t="shared" si="3"/>
        <v>0</v>
      </c>
      <c r="O29" s="43">
        <f t="shared" si="3"/>
        <v>0</v>
      </c>
      <c r="P29" s="43">
        <f t="shared" si="3"/>
        <v>0</v>
      </c>
    </row>
    <row r="30" spans="3:16" ht="15">
      <c r="C30" s="36" t="s">
        <v>583</v>
      </c>
      <c r="E30" s="56">
        <f>D!E30</f>
        <v>0.04</v>
      </c>
      <c r="F30" s="43">
        <f>SUM(G30:P30)</f>
        <v>5085.890946</v>
      </c>
      <c r="G30" s="43">
        <f aca="true" t="shared" si="4" ref="G30:P30">H26*$E30</f>
        <v>0</v>
      </c>
      <c r="H30" s="43">
        <f t="shared" si="4"/>
        <v>1591.3500000000001</v>
      </c>
      <c r="I30" s="43">
        <f t="shared" si="4"/>
        <v>1693.72685</v>
      </c>
      <c r="J30" s="43">
        <f t="shared" si="4"/>
        <v>1800.814096</v>
      </c>
      <c r="K30" s="43">
        <f t="shared" si="4"/>
        <v>0</v>
      </c>
      <c r="L30" s="43">
        <f t="shared" si="4"/>
        <v>0</v>
      </c>
      <c r="M30" s="43">
        <f t="shared" si="4"/>
        <v>0</v>
      </c>
      <c r="N30" s="43">
        <f t="shared" si="4"/>
        <v>0</v>
      </c>
      <c r="O30" s="43">
        <f t="shared" si="4"/>
        <v>0</v>
      </c>
      <c r="P30" s="43">
        <f t="shared" si="4"/>
        <v>0</v>
      </c>
    </row>
    <row r="31" spans="6:16" ht="15">
      <c r="F31" s="44" t="s">
        <v>560</v>
      </c>
      <c r="G31" s="44" t="s">
        <v>560</v>
      </c>
      <c r="H31" s="44" t="s">
        <v>560</v>
      </c>
      <c r="I31" s="44" t="s">
        <v>560</v>
      </c>
      <c r="J31" s="44" t="s">
        <v>560</v>
      </c>
      <c r="K31" s="44" t="s">
        <v>560</v>
      </c>
      <c r="L31" s="44" t="s">
        <v>560</v>
      </c>
      <c r="M31" s="44" t="s">
        <v>560</v>
      </c>
      <c r="N31" s="44" t="s">
        <v>560</v>
      </c>
      <c r="O31" s="44" t="s">
        <v>560</v>
      </c>
      <c r="P31" s="44" t="s">
        <v>560</v>
      </c>
    </row>
    <row r="32" spans="3:16" ht="15">
      <c r="C32" s="36" t="s">
        <v>574</v>
      </c>
      <c r="F32" s="43">
        <f>SUM(G32:P32)</f>
        <v>111889.60081199999</v>
      </c>
      <c r="G32" s="43">
        <f aca="true" t="shared" si="5" ref="G32:P32">G26-G28-G29-G30</f>
        <v>0</v>
      </c>
      <c r="H32" s="43">
        <f t="shared" si="5"/>
        <v>-1591.3500000000001</v>
      </c>
      <c r="I32" s="43">
        <f t="shared" si="5"/>
        <v>34907.32315</v>
      </c>
      <c r="J32" s="43">
        <f t="shared" si="5"/>
        <v>37154.90345399999</v>
      </c>
      <c r="K32" s="43">
        <f t="shared" si="5"/>
        <v>41418.724208</v>
      </c>
      <c r="L32" s="43">
        <f t="shared" si="5"/>
        <v>0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</row>
    <row r="34" spans="3:5" ht="15">
      <c r="C34" s="58" t="s">
        <v>575</v>
      </c>
      <c r="E34" s="41" t="s">
        <v>584</v>
      </c>
    </row>
    <row r="35" spans="3:16" ht="15">
      <c r="C35" s="36" t="s">
        <v>585</v>
      </c>
      <c r="E35" s="43">
        <v>420</v>
      </c>
      <c r="F35" s="43">
        <f>SUM(G35:P35)</f>
        <v>66856.16699999999</v>
      </c>
      <c r="G35" s="43">
        <f>$E$35*G19*H22</f>
        <v>0</v>
      </c>
      <c r="H35" s="43">
        <f aca="true" t="shared" si="6" ref="H35:P35">$E$35*H19*I22</f>
        <v>21630</v>
      </c>
      <c r="I35" s="43">
        <f t="shared" si="6"/>
        <v>22278.899999999998</v>
      </c>
      <c r="J35" s="43">
        <f t="shared" si="6"/>
        <v>22947.267</v>
      </c>
      <c r="K35" s="43">
        <f t="shared" si="6"/>
        <v>0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</row>
    <row r="36" spans="3:16" ht="15">
      <c r="C36" s="36" t="s">
        <v>577</v>
      </c>
      <c r="E36" s="43">
        <f>D!E35</f>
        <v>40</v>
      </c>
      <c r="F36" s="43">
        <f>SUM(G36:P36)</f>
        <v>6367.254000000001</v>
      </c>
      <c r="G36" s="43">
        <f>$E$36*G19*H22</f>
        <v>0</v>
      </c>
      <c r="H36" s="43">
        <f aca="true" t="shared" si="7" ref="H36:P36">$E$36*H19*I22</f>
        <v>2060</v>
      </c>
      <c r="I36" s="43">
        <f t="shared" si="7"/>
        <v>2121.8</v>
      </c>
      <c r="J36" s="43">
        <f t="shared" si="7"/>
        <v>2185.454</v>
      </c>
      <c r="K36" s="43">
        <f t="shared" si="7"/>
        <v>0</v>
      </c>
      <c r="L36" s="43">
        <f t="shared" si="7"/>
        <v>0</v>
      </c>
      <c r="M36" s="43">
        <f t="shared" si="7"/>
        <v>0</v>
      </c>
      <c r="N36" s="43">
        <f t="shared" si="7"/>
        <v>0</v>
      </c>
      <c r="O36" s="43">
        <f t="shared" si="7"/>
        <v>0</v>
      </c>
      <c r="P36" s="43">
        <f t="shared" si="7"/>
        <v>0</v>
      </c>
    </row>
    <row r="38" spans="3:16" ht="15">
      <c r="C38" s="36" t="s">
        <v>537</v>
      </c>
      <c r="E38" s="56">
        <v>0.2</v>
      </c>
      <c r="F38" s="43">
        <f>SUM(G38:P38)</f>
        <v>13371.2334</v>
      </c>
      <c r="G38" s="43">
        <f aca="true" t="shared" si="8" ref="G38:P39">G$35*$E38</f>
        <v>0</v>
      </c>
      <c r="H38" s="43">
        <f t="shared" si="8"/>
        <v>4326</v>
      </c>
      <c r="I38" s="43">
        <f t="shared" si="8"/>
        <v>4455.78</v>
      </c>
      <c r="J38" s="43">
        <f t="shared" si="8"/>
        <v>4589.4534</v>
      </c>
      <c r="K38" s="43">
        <f t="shared" si="8"/>
        <v>0</v>
      </c>
      <c r="L38" s="43">
        <f t="shared" si="8"/>
        <v>0</v>
      </c>
      <c r="M38" s="43">
        <f t="shared" si="8"/>
        <v>0</v>
      </c>
      <c r="N38" s="43">
        <f t="shared" si="8"/>
        <v>0</v>
      </c>
      <c r="O38" s="43">
        <f t="shared" si="8"/>
        <v>0</v>
      </c>
      <c r="P38" s="43">
        <f t="shared" si="8"/>
        <v>0</v>
      </c>
    </row>
    <row r="39" spans="3:16" ht="15">
      <c r="C39" s="36" t="s">
        <v>538</v>
      </c>
      <c r="E39" s="56">
        <v>0.05</v>
      </c>
      <c r="F39" s="43">
        <f>SUM(G39:P39)</f>
        <v>3342.80835</v>
      </c>
      <c r="G39" s="43">
        <f t="shared" si="8"/>
        <v>0</v>
      </c>
      <c r="H39" s="43">
        <f t="shared" si="8"/>
        <v>1081.5</v>
      </c>
      <c r="I39" s="43">
        <f t="shared" si="8"/>
        <v>1113.945</v>
      </c>
      <c r="J39" s="43">
        <f t="shared" si="8"/>
        <v>1147.36335</v>
      </c>
      <c r="K39" s="43">
        <f t="shared" si="8"/>
        <v>0</v>
      </c>
      <c r="L39" s="43">
        <f t="shared" si="8"/>
        <v>0</v>
      </c>
      <c r="M39" s="43">
        <f t="shared" si="8"/>
        <v>0</v>
      </c>
      <c r="N39" s="43">
        <f t="shared" si="8"/>
        <v>0</v>
      </c>
      <c r="O39" s="43">
        <f t="shared" si="8"/>
        <v>0</v>
      </c>
      <c r="P39" s="43">
        <f t="shared" si="8"/>
        <v>0</v>
      </c>
    </row>
    <row r="40" spans="6:16" ht="15">
      <c r="F40" s="44" t="s">
        <v>560</v>
      </c>
      <c r="G40" s="44" t="s">
        <v>560</v>
      </c>
      <c r="H40" s="44" t="s">
        <v>560</v>
      </c>
      <c r="I40" s="44" t="s">
        <v>560</v>
      </c>
      <c r="J40" s="44" t="s">
        <v>560</v>
      </c>
      <c r="K40" s="44" t="s">
        <v>560</v>
      </c>
      <c r="L40" s="44" t="s">
        <v>560</v>
      </c>
      <c r="M40" s="44" t="s">
        <v>560</v>
      </c>
      <c r="N40" s="44" t="s">
        <v>560</v>
      </c>
      <c r="O40" s="44" t="s">
        <v>560</v>
      </c>
      <c r="P40" s="44" t="s">
        <v>560</v>
      </c>
    </row>
    <row r="41" spans="3:16" ht="15">
      <c r="C41" s="36" t="s">
        <v>579</v>
      </c>
      <c r="F41" s="43">
        <f>SUM(G41:P41)</f>
        <v>89937.46275</v>
      </c>
      <c r="G41" s="43">
        <f aca="true" t="shared" si="9" ref="G41:P41">G35+G36+G38+G39</f>
        <v>0</v>
      </c>
      <c r="H41" s="43">
        <f t="shared" si="9"/>
        <v>29097.5</v>
      </c>
      <c r="I41" s="43">
        <f t="shared" si="9"/>
        <v>29970.424999999996</v>
      </c>
      <c r="J41" s="43">
        <f t="shared" si="9"/>
        <v>30869.537750000003</v>
      </c>
      <c r="K41" s="43">
        <f t="shared" si="9"/>
        <v>0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</row>
    <row r="42" spans="6:16" ht="15">
      <c r="F42" s="44" t="s">
        <v>560</v>
      </c>
      <c r="G42" s="44" t="s">
        <v>560</v>
      </c>
      <c r="H42" s="44" t="s">
        <v>560</v>
      </c>
      <c r="I42" s="44" t="s">
        <v>560</v>
      </c>
      <c r="J42" s="44" t="s">
        <v>560</v>
      </c>
      <c r="K42" s="44" t="s">
        <v>560</v>
      </c>
      <c r="L42" s="44" t="s">
        <v>560</v>
      </c>
      <c r="M42" s="44" t="s">
        <v>560</v>
      </c>
      <c r="N42" s="44" t="s">
        <v>560</v>
      </c>
      <c r="O42" s="44" t="s">
        <v>560</v>
      </c>
      <c r="P42" s="44" t="s">
        <v>560</v>
      </c>
    </row>
    <row r="43" spans="3:16" ht="15">
      <c r="C43" s="36" t="s">
        <v>563</v>
      </c>
      <c r="F43" s="43">
        <f>SUM(G43:P43)</f>
        <v>21952.13806199999</v>
      </c>
      <c r="G43" s="43">
        <f aca="true" t="shared" si="10" ref="G43:P43">G32-G41</f>
        <v>0</v>
      </c>
      <c r="H43" s="43">
        <f t="shared" si="10"/>
        <v>-30688.85</v>
      </c>
      <c r="I43" s="43">
        <f t="shared" si="10"/>
        <v>4936.898150000001</v>
      </c>
      <c r="J43" s="43">
        <f t="shared" si="10"/>
        <v>6285.365703999989</v>
      </c>
      <c r="K43" s="43">
        <f t="shared" si="10"/>
        <v>41418.724208</v>
      </c>
      <c r="L43" s="43">
        <f t="shared" si="10"/>
        <v>0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0</v>
      </c>
    </row>
    <row r="44" spans="3:16" ht="15">
      <c r="C44" s="36" t="s">
        <v>564</v>
      </c>
      <c r="G44" s="43">
        <f>G43</f>
        <v>0</v>
      </c>
      <c r="H44" s="43">
        <f aca="true" t="shared" si="11" ref="H44:P44">G44+H43</f>
        <v>-30688.85</v>
      </c>
      <c r="I44" s="43">
        <f t="shared" si="11"/>
        <v>-25751.951849999998</v>
      </c>
      <c r="J44" s="43">
        <f t="shared" si="11"/>
        <v>-19466.58614600001</v>
      </c>
      <c r="K44" s="43">
        <f t="shared" si="11"/>
        <v>21952.13806199999</v>
      </c>
      <c r="L44" s="43">
        <f t="shared" si="11"/>
        <v>21952.13806199999</v>
      </c>
      <c r="M44" s="43">
        <f t="shared" si="11"/>
        <v>21952.13806199999</v>
      </c>
      <c r="N44" s="43">
        <f t="shared" si="11"/>
        <v>21952.13806199999</v>
      </c>
      <c r="O44" s="43">
        <f t="shared" si="11"/>
        <v>21952.13806199999</v>
      </c>
      <c r="P44" s="43">
        <f t="shared" si="11"/>
        <v>21952.13806199999</v>
      </c>
    </row>
    <row r="47" spans="2:6" ht="15">
      <c r="B47" s="36">
        <v>0.2</v>
      </c>
      <c r="C47" s="45"/>
      <c r="D47" s="46"/>
      <c r="E47" s="47"/>
      <c r="F47" s="40"/>
    </row>
    <row r="48" spans="3:5" ht="15">
      <c r="C48" s="48" t="s">
        <v>566</v>
      </c>
      <c r="D48" s="49">
        <f>C!D41</f>
        <v>0.12</v>
      </c>
      <c r="E48" s="50">
        <f>NPV(D48,G43:P43)</f>
        <v>6545.58323905391</v>
      </c>
    </row>
    <row r="52" ht="15">
      <c r="C52" s="36" t="s">
        <v>543</v>
      </c>
    </row>
  </sheetData>
  <printOptions/>
  <pageMargins left="0.75" right="0.5" top="0.75" bottom="0.55" header="0.5" footer="0.5"/>
  <pageSetup fitToHeight="1" fitToWidth="1" horizontalDpi="600" verticalDpi="600" orientation="landscape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52"/>
  <sheetViews>
    <sheetView showGridLines="0" workbookViewId="0" topLeftCell="B9">
      <selection activeCell="C10" sqref="C10"/>
    </sheetView>
  </sheetViews>
  <sheetFormatPr defaultColWidth="9.796875" defaultRowHeight="15"/>
  <cols>
    <col min="1" max="3" width="9.69921875" style="36" customWidth="1"/>
    <col min="4" max="4" width="11.3984375" style="36" customWidth="1"/>
    <col min="5" max="5" width="10.59765625" style="36" customWidth="1"/>
    <col min="6" max="16" width="11.59765625" style="36" customWidth="1"/>
    <col min="17" max="16384" width="9.69921875" style="36" customWidth="1"/>
  </cols>
  <sheetData>
    <row r="10" ht="15.75">
      <c r="C10" s="35" t="s">
        <v>700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83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567</v>
      </c>
    </row>
    <row r="22" spans="3:16" ht="15">
      <c r="C22" s="36" t="s">
        <v>568</v>
      </c>
      <c r="F22" s="59">
        <f>SUM(G22:P22)</f>
        <v>200</v>
      </c>
      <c r="G22" s="59">
        <v>0</v>
      </c>
      <c r="H22" s="59">
        <v>0</v>
      </c>
      <c r="I22" s="59">
        <v>50</v>
      </c>
      <c r="J22" s="59">
        <v>50</v>
      </c>
      <c r="K22" s="59">
        <v>50</v>
      </c>
      <c r="L22" s="59">
        <v>50</v>
      </c>
      <c r="M22" s="59">
        <v>0</v>
      </c>
      <c r="N22" s="59">
        <v>0</v>
      </c>
      <c r="O22" s="59">
        <v>0</v>
      </c>
      <c r="P22" s="59">
        <v>0</v>
      </c>
    </row>
    <row r="23" spans="3:16" ht="15">
      <c r="C23" s="36" t="s">
        <v>580</v>
      </c>
      <c r="F23" s="43"/>
      <c r="G23" s="43">
        <v>0</v>
      </c>
      <c r="H23" s="43">
        <v>0</v>
      </c>
      <c r="I23" s="43">
        <v>550</v>
      </c>
      <c r="J23" s="43">
        <v>575</v>
      </c>
      <c r="K23" s="43">
        <v>600</v>
      </c>
      <c r="L23" s="43">
        <v>625</v>
      </c>
      <c r="M23" s="43">
        <v>0</v>
      </c>
      <c r="N23" s="43">
        <v>0</v>
      </c>
      <c r="O23" s="43">
        <v>0</v>
      </c>
      <c r="P23" s="43">
        <v>0</v>
      </c>
    </row>
    <row r="25" ht="15">
      <c r="C25" s="58" t="s">
        <v>660</v>
      </c>
    </row>
    <row r="26" spans="3:16" ht="15">
      <c r="C26" s="36" t="s">
        <v>570</v>
      </c>
      <c r="F26" s="43">
        <f>SUM(G26:P26)</f>
        <v>130583.230371875</v>
      </c>
      <c r="G26" s="43">
        <f>G22*G23*G19</f>
        <v>0</v>
      </c>
      <c r="H26" s="43">
        <f aca="true" t="shared" si="1" ref="H26:P26">H22*H23*H19</f>
        <v>0</v>
      </c>
      <c r="I26" s="43">
        <f t="shared" si="1"/>
        <v>29174.75</v>
      </c>
      <c r="J26" s="43">
        <f t="shared" si="1"/>
        <v>31415.90125</v>
      </c>
      <c r="K26" s="43">
        <f t="shared" si="1"/>
        <v>33765.2643</v>
      </c>
      <c r="L26" s="43">
        <f t="shared" si="1"/>
        <v>36227.314821875</v>
      </c>
      <c r="M26" s="43">
        <f t="shared" si="1"/>
        <v>0</v>
      </c>
      <c r="N26" s="43">
        <f t="shared" si="1"/>
        <v>0</v>
      </c>
      <c r="O26" s="43">
        <f t="shared" si="1"/>
        <v>0</v>
      </c>
      <c r="P26" s="43">
        <f t="shared" si="1"/>
        <v>0</v>
      </c>
    </row>
    <row r="28" spans="3:16" ht="15">
      <c r="C28" s="36" t="s">
        <v>581</v>
      </c>
      <c r="E28" s="56">
        <f>D!E28</f>
        <v>0.06</v>
      </c>
      <c r="F28" s="43">
        <f>SUM(G28:P28)</f>
        <v>7834.993822312499</v>
      </c>
      <c r="G28" s="43">
        <f aca="true" t="shared" si="2" ref="G28:P28">G26*$E$28</f>
        <v>0</v>
      </c>
      <c r="H28" s="43">
        <f t="shared" si="2"/>
        <v>0</v>
      </c>
      <c r="I28" s="43">
        <f t="shared" si="2"/>
        <v>1750.485</v>
      </c>
      <c r="J28" s="43">
        <f t="shared" si="2"/>
        <v>1884.9540749999999</v>
      </c>
      <c r="K28" s="43">
        <f t="shared" si="2"/>
        <v>2025.915858</v>
      </c>
      <c r="L28" s="43">
        <f t="shared" si="2"/>
        <v>2173.6388893125</v>
      </c>
      <c r="M28" s="43">
        <f t="shared" si="2"/>
        <v>0</v>
      </c>
      <c r="N28" s="43">
        <f t="shared" si="2"/>
        <v>0</v>
      </c>
      <c r="O28" s="43">
        <f t="shared" si="2"/>
        <v>0</v>
      </c>
      <c r="P28" s="43">
        <f t="shared" si="2"/>
        <v>0</v>
      </c>
    </row>
    <row r="29" spans="3:16" ht="15">
      <c r="C29" s="36" t="s">
        <v>582</v>
      </c>
      <c r="E29" s="56">
        <f>D!E29</f>
        <v>0.02</v>
      </c>
      <c r="F29" s="43">
        <f>SUM(G29:P29)</f>
        <v>2611.6646074375</v>
      </c>
      <c r="G29" s="43">
        <f aca="true" t="shared" si="3" ref="G29:P29">G26*$E$29</f>
        <v>0</v>
      </c>
      <c r="H29" s="43">
        <f t="shared" si="3"/>
        <v>0</v>
      </c>
      <c r="I29" s="43">
        <f t="shared" si="3"/>
        <v>583.495</v>
      </c>
      <c r="J29" s="43">
        <f t="shared" si="3"/>
        <v>628.318025</v>
      </c>
      <c r="K29" s="43">
        <f t="shared" si="3"/>
        <v>675.305286</v>
      </c>
      <c r="L29" s="43">
        <f t="shared" si="3"/>
        <v>724.5462964375</v>
      </c>
      <c r="M29" s="43">
        <f t="shared" si="3"/>
        <v>0</v>
      </c>
      <c r="N29" s="43">
        <f t="shared" si="3"/>
        <v>0</v>
      </c>
      <c r="O29" s="43">
        <f t="shared" si="3"/>
        <v>0</v>
      </c>
      <c r="P29" s="43">
        <f t="shared" si="3"/>
        <v>0</v>
      </c>
    </row>
    <row r="30" spans="3:16" ht="15">
      <c r="C30" s="36" t="s">
        <v>586</v>
      </c>
      <c r="E30" s="56">
        <f>D!E30</f>
        <v>0.04</v>
      </c>
      <c r="F30" s="43">
        <f>SUM(G30:P30)</f>
        <v>5223.329214875</v>
      </c>
      <c r="G30" s="43">
        <f aca="true" t="shared" si="4" ref="G30:P30">H26*$E$30</f>
        <v>0</v>
      </c>
      <c r="H30" s="43">
        <f t="shared" si="4"/>
        <v>1166.99</v>
      </c>
      <c r="I30" s="43">
        <f t="shared" si="4"/>
        <v>1256.63605</v>
      </c>
      <c r="J30" s="43">
        <f t="shared" si="4"/>
        <v>1350.610572</v>
      </c>
      <c r="K30" s="43">
        <f t="shared" si="4"/>
        <v>1449.092592875</v>
      </c>
      <c r="L30" s="43">
        <f t="shared" si="4"/>
        <v>0</v>
      </c>
      <c r="M30" s="43">
        <f t="shared" si="4"/>
        <v>0</v>
      </c>
      <c r="N30" s="43">
        <f t="shared" si="4"/>
        <v>0</v>
      </c>
      <c r="O30" s="43">
        <f t="shared" si="4"/>
        <v>0</v>
      </c>
      <c r="P30" s="43">
        <f t="shared" si="4"/>
        <v>0</v>
      </c>
    </row>
    <row r="31" spans="6:16" ht="15">
      <c r="F31" s="44" t="s">
        <v>560</v>
      </c>
      <c r="G31" s="44" t="s">
        <v>560</v>
      </c>
      <c r="H31" s="44" t="s">
        <v>560</v>
      </c>
      <c r="I31" s="44" t="s">
        <v>560</v>
      </c>
      <c r="J31" s="44" t="s">
        <v>560</v>
      </c>
      <c r="K31" s="44" t="s">
        <v>560</v>
      </c>
      <c r="L31" s="44" t="s">
        <v>560</v>
      </c>
      <c r="M31" s="44" t="s">
        <v>560</v>
      </c>
      <c r="N31" s="44" t="s">
        <v>560</v>
      </c>
      <c r="O31" s="44" t="s">
        <v>560</v>
      </c>
      <c r="P31" s="44" t="s">
        <v>560</v>
      </c>
    </row>
    <row r="32" spans="3:16" ht="15">
      <c r="C32" s="36" t="s">
        <v>574</v>
      </c>
      <c r="F32" s="43">
        <f>SUM(G32:P32)</f>
        <v>114913.24272725</v>
      </c>
      <c r="G32" s="43">
        <f aca="true" t="shared" si="5" ref="G32:P32">G26-G28-G29-G30</f>
        <v>0</v>
      </c>
      <c r="H32" s="43">
        <f t="shared" si="5"/>
        <v>-1166.99</v>
      </c>
      <c r="I32" s="43">
        <f t="shared" si="5"/>
        <v>25584.13395</v>
      </c>
      <c r="J32" s="43">
        <f t="shared" si="5"/>
        <v>27552.018577999996</v>
      </c>
      <c r="K32" s="43">
        <f t="shared" si="5"/>
        <v>29614.950563125003</v>
      </c>
      <c r="L32" s="43">
        <f t="shared" si="5"/>
        <v>33329.129636125006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</row>
    <row r="34" spans="3:5" ht="15">
      <c r="C34" s="58" t="s">
        <v>575</v>
      </c>
      <c r="E34" s="41" t="s">
        <v>584</v>
      </c>
    </row>
    <row r="35" spans="3:16" ht="15">
      <c r="C35" s="36" t="s">
        <v>585</v>
      </c>
      <c r="E35" s="43">
        <v>315</v>
      </c>
      <c r="F35" s="43">
        <f>SUM(G35:P35)</f>
        <v>67868.8890075</v>
      </c>
      <c r="G35" s="43">
        <f aca="true" t="shared" si="6" ref="G35:P35">$E$35*G17*H22</f>
        <v>0</v>
      </c>
      <c r="H35" s="43">
        <f t="shared" si="6"/>
        <v>16222.5</v>
      </c>
      <c r="I35" s="43">
        <f t="shared" si="6"/>
        <v>16709.175</v>
      </c>
      <c r="J35" s="43">
        <f t="shared" si="6"/>
        <v>17210.450249999998</v>
      </c>
      <c r="K35" s="43">
        <f t="shared" si="6"/>
        <v>17726.7637575</v>
      </c>
      <c r="L35" s="43">
        <f t="shared" si="6"/>
        <v>0</v>
      </c>
      <c r="M35" s="43">
        <f t="shared" si="6"/>
        <v>0</v>
      </c>
      <c r="N35" s="43">
        <f t="shared" si="6"/>
        <v>0</v>
      </c>
      <c r="O35" s="43">
        <f t="shared" si="6"/>
        <v>0</v>
      </c>
      <c r="P35" s="43">
        <f t="shared" si="6"/>
        <v>0</v>
      </c>
    </row>
    <row r="36" spans="3:16" ht="15">
      <c r="C36" s="36" t="s">
        <v>577</v>
      </c>
      <c r="E36" s="43">
        <v>20</v>
      </c>
      <c r="F36" s="43">
        <f>SUM(G36:P36)</f>
        <v>4309.135810000001</v>
      </c>
      <c r="G36" s="43">
        <f aca="true" t="shared" si="7" ref="G36:P36">$E$36*G17*H22</f>
        <v>0</v>
      </c>
      <c r="H36" s="43">
        <f t="shared" si="7"/>
        <v>1030</v>
      </c>
      <c r="I36" s="43">
        <f t="shared" si="7"/>
        <v>1060.9</v>
      </c>
      <c r="J36" s="43">
        <f t="shared" si="7"/>
        <v>1092.727</v>
      </c>
      <c r="K36" s="43">
        <f t="shared" si="7"/>
        <v>1125.5088100000003</v>
      </c>
      <c r="L36" s="43">
        <f t="shared" si="7"/>
        <v>0</v>
      </c>
      <c r="M36" s="43">
        <f t="shared" si="7"/>
        <v>0</v>
      </c>
      <c r="N36" s="43">
        <f t="shared" si="7"/>
        <v>0</v>
      </c>
      <c r="O36" s="43">
        <f t="shared" si="7"/>
        <v>0</v>
      </c>
      <c r="P36" s="43">
        <f t="shared" si="7"/>
        <v>0</v>
      </c>
    </row>
    <row r="38" spans="3:16" ht="15">
      <c r="C38" s="36" t="s">
        <v>537</v>
      </c>
      <c r="E38" s="56">
        <v>0.2</v>
      </c>
      <c r="F38" s="43">
        <f>SUM(G38:P38)</f>
        <v>13573.7778015</v>
      </c>
      <c r="G38" s="43">
        <f aca="true" t="shared" si="8" ref="G38:P39">G$35*$E38</f>
        <v>0</v>
      </c>
      <c r="H38" s="43">
        <f t="shared" si="8"/>
        <v>3244.5</v>
      </c>
      <c r="I38" s="43">
        <f t="shared" si="8"/>
        <v>3341.835</v>
      </c>
      <c r="J38" s="43">
        <f t="shared" si="8"/>
        <v>3442.09005</v>
      </c>
      <c r="K38" s="43">
        <f t="shared" si="8"/>
        <v>3545.3527515000005</v>
      </c>
      <c r="L38" s="43">
        <f t="shared" si="8"/>
        <v>0</v>
      </c>
      <c r="M38" s="43">
        <f t="shared" si="8"/>
        <v>0</v>
      </c>
      <c r="N38" s="43">
        <f t="shared" si="8"/>
        <v>0</v>
      </c>
      <c r="O38" s="43">
        <f t="shared" si="8"/>
        <v>0</v>
      </c>
      <c r="P38" s="43">
        <f t="shared" si="8"/>
        <v>0</v>
      </c>
    </row>
    <row r="39" spans="3:16" ht="15">
      <c r="C39" s="36" t="s">
        <v>538</v>
      </c>
      <c r="E39" s="56">
        <v>0.05</v>
      </c>
      <c r="F39" s="43">
        <f>SUM(G39:P39)</f>
        <v>3393.444450375</v>
      </c>
      <c r="G39" s="43">
        <f t="shared" si="8"/>
        <v>0</v>
      </c>
      <c r="H39" s="43">
        <f t="shared" si="8"/>
        <v>811.125</v>
      </c>
      <c r="I39" s="43">
        <f t="shared" si="8"/>
        <v>835.45875</v>
      </c>
      <c r="J39" s="43">
        <f t="shared" si="8"/>
        <v>860.5225125</v>
      </c>
      <c r="K39" s="43">
        <f t="shared" si="8"/>
        <v>886.3381878750001</v>
      </c>
      <c r="L39" s="43">
        <f t="shared" si="8"/>
        <v>0</v>
      </c>
      <c r="M39" s="43">
        <f t="shared" si="8"/>
        <v>0</v>
      </c>
      <c r="N39" s="43">
        <f t="shared" si="8"/>
        <v>0</v>
      </c>
      <c r="O39" s="43">
        <f t="shared" si="8"/>
        <v>0</v>
      </c>
      <c r="P39" s="43">
        <f t="shared" si="8"/>
        <v>0</v>
      </c>
    </row>
    <row r="40" spans="6:16" ht="15">
      <c r="F40" s="44" t="s">
        <v>560</v>
      </c>
      <c r="G40" s="44" t="s">
        <v>560</v>
      </c>
      <c r="H40" s="44" t="s">
        <v>560</v>
      </c>
      <c r="I40" s="44" t="s">
        <v>560</v>
      </c>
      <c r="J40" s="44" t="s">
        <v>560</v>
      </c>
      <c r="K40" s="44" t="s">
        <v>560</v>
      </c>
      <c r="L40" s="44" t="s">
        <v>560</v>
      </c>
      <c r="M40" s="44" t="s">
        <v>560</v>
      </c>
      <c r="N40" s="44" t="s">
        <v>560</v>
      </c>
      <c r="O40" s="44" t="s">
        <v>560</v>
      </c>
      <c r="P40" s="44" t="s">
        <v>560</v>
      </c>
    </row>
    <row r="41" spans="3:16" ht="15">
      <c r="C41" s="36" t="s">
        <v>579</v>
      </c>
      <c r="F41" s="43">
        <f>SUM(G41:P41)</f>
        <v>89145.24706937501</v>
      </c>
      <c r="G41" s="43">
        <f aca="true" t="shared" si="9" ref="G41:P41">SUM(G35:G39)</f>
        <v>0</v>
      </c>
      <c r="H41" s="43">
        <f t="shared" si="9"/>
        <v>21308.125</v>
      </c>
      <c r="I41" s="43">
        <f t="shared" si="9"/>
        <v>21947.36875</v>
      </c>
      <c r="J41" s="43">
        <f t="shared" si="9"/>
        <v>22605.789812499996</v>
      </c>
      <c r="K41" s="43">
        <f t="shared" si="9"/>
        <v>23283.963506875</v>
      </c>
      <c r="L41" s="43">
        <f t="shared" si="9"/>
        <v>0</v>
      </c>
      <c r="M41" s="43">
        <f t="shared" si="9"/>
        <v>0</v>
      </c>
      <c r="N41" s="43">
        <f t="shared" si="9"/>
        <v>0</v>
      </c>
      <c r="O41" s="43">
        <f t="shared" si="9"/>
        <v>0</v>
      </c>
      <c r="P41" s="43">
        <f t="shared" si="9"/>
        <v>0</v>
      </c>
    </row>
    <row r="42" spans="6:16" ht="15">
      <c r="F42" s="44" t="s">
        <v>560</v>
      </c>
      <c r="G42" s="44" t="s">
        <v>560</v>
      </c>
      <c r="H42" s="44" t="s">
        <v>560</v>
      </c>
      <c r="I42" s="44" t="s">
        <v>560</v>
      </c>
      <c r="J42" s="44" t="s">
        <v>560</v>
      </c>
      <c r="K42" s="44" t="s">
        <v>560</v>
      </c>
      <c r="L42" s="44" t="s">
        <v>560</v>
      </c>
      <c r="M42" s="44" t="s">
        <v>560</v>
      </c>
      <c r="N42" s="44" t="s">
        <v>560</v>
      </c>
      <c r="O42" s="44" t="s">
        <v>560</v>
      </c>
      <c r="P42" s="44" t="s">
        <v>560</v>
      </c>
    </row>
    <row r="43" spans="3:16" ht="15">
      <c r="C43" s="36" t="s">
        <v>563</v>
      </c>
      <c r="F43" s="43">
        <f>SUM(G43:P43)</f>
        <v>25767.995657875006</v>
      </c>
      <c r="G43" s="43">
        <f aca="true" t="shared" si="10" ref="G43:P43">G32-G41</f>
        <v>0</v>
      </c>
      <c r="H43" s="43">
        <f t="shared" si="10"/>
        <v>-22475.115</v>
      </c>
      <c r="I43" s="43">
        <f t="shared" si="10"/>
        <v>3636.765199999998</v>
      </c>
      <c r="J43" s="43">
        <f t="shared" si="10"/>
        <v>4946.2287655</v>
      </c>
      <c r="K43" s="43">
        <f t="shared" si="10"/>
        <v>6330.987056250004</v>
      </c>
      <c r="L43" s="43">
        <f t="shared" si="10"/>
        <v>33329.129636125006</v>
      </c>
      <c r="M43" s="43">
        <f t="shared" si="10"/>
        <v>0</v>
      </c>
      <c r="N43" s="43">
        <f t="shared" si="10"/>
        <v>0</v>
      </c>
      <c r="O43" s="43">
        <f t="shared" si="10"/>
        <v>0</v>
      </c>
      <c r="P43" s="43">
        <f t="shared" si="10"/>
        <v>0</v>
      </c>
    </row>
    <row r="44" spans="3:16" ht="15">
      <c r="C44" s="36" t="s">
        <v>564</v>
      </c>
      <c r="G44" s="43">
        <f>G43</f>
        <v>0</v>
      </c>
      <c r="H44" s="43">
        <f aca="true" t="shared" si="11" ref="H44:P44">G44+H43</f>
        <v>-22475.115</v>
      </c>
      <c r="I44" s="43">
        <f t="shared" si="11"/>
        <v>-18838.349800000004</v>
      </c>
      <c r="J44" s="43">
        <f t="shared" si="11"/>
        <v>-13892.121034500004</v>
      </c>
      <c r="K44" s="43">
        <f t="shared" si="11"/>
        <v>-7561.13397825</v>
      </c>
      <c r="L44" s="43">
        <f t="shared" si="11"/>
        <v>25767.995657875006</v>
      </c>
      <c r="M44" s="43">
        <f t="shared" si="11"/>
        <v>25767.995657875006</v>
      </c>
      <c r="N44" s="43">
        <f t="shared" si="11"/>
        <v>25767.995657875006</v>
      </c>
      <c r="O44" s="43">
        <f t="shared" si="11"/>
        <v>25767.995657875006</v>
      </c>
      <c r="P44" s="43">
        <f t="shared" si="11"/>
        <v>25767.995657875006</v>
      </c>
    </row>
    <row r="47" spans="2:6" ht="15">
      <c r="B47" s="36">
        <v>0.5</v>
      </c>
      <c r="C47" s="45"/>
      <c r="D47" s="46"/>
      <c r="E47" s="47"/>
      <c r="F47" s="40"/>
    </row>
    <row r="48" spans="3:5" ht="15">
      <c r="C48" s="48" t="s">
        <v>566</v>
      </c>
      <c r="D48" s="49">
        <f>C!D41</f>
        <v>0.12</v>
      </c>
      <c r="E48" s="50">
        <f>NPV(D48,G43:P43)</f>
        <v>8292.917754778711</v>
      </c>
    </row>
    <row r="52" ht="15">
      <c r="C52" s="36" t="s">
        <v>543</v>
      </c>
    </row>
  </sheetData>
  <printOptions/>
  <pageMargins left="0.75" right="0.5" top="0.75" bottom="0.55" header="0.5" footer="0.5"/>
  <pageSetup fitToHeight="1" fitToWidth="1" horizontalDpi="600" verticalDpi="600" orientation="landscape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B10:P55"/>
  <sheetViews>
    <sheetView showGridLines="0" workbookViewId="0" topLeftCell="A4">
      <selection activeCell="D18" sqref="D18"/>
    </sheetView>
  </sheetViews>
  <sheetFormatPr defaultColWidth="9.796875" defaultRowHeight="15"/>
  <cols>
    <col min="1" max="3" width="9.69921875" style="36" customWidth="1"/>
    <col min="4" max="4" width="11.09765625" style="36" customWidth="1"/>
    <col min="5" max="5" width="9.69921875" style="36" customWidth="1"/>
    <col min="6" max="16" width="11.59765625" style="36" customWidth="1"/>
    <col min="17" max="16384" width="9.69921875" style="36" customWidth="1"/>
  </cols>
  <sheetData>
    <row r="10" ht="15.75">
      <c r="C10" s="35" t="s">
        <v>704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656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3:16" ht="15">
      <c r="C20" s="58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3:16" ht="15">
      <c r="C21" s="58" t="s">
        <v>567</v>
      </c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3:12" ht="15">
      <c r="C22" s="36" t="s">
        <v>587</v>
      </c>
      <c r="F22" s="36">
        <f>SUM(G22:P22)</f>
        <v>50</v>
      </c>
      <c r="H22" s="36">
        <v>0</v>
      </c>
      <c r="I22" s="36">
        <v>0</v>
      </c>
      <c r="J22" s="36">
        <v>20</v>
      </c>
      <c r="K22" s="36">
        <v>15</v>
      </c>
      <c r="L22" s="36">
        <v>15</v>
      </c>
    </row>
    <row r="23" spans="3:16" ht="15">
      <c r="C23" s="36" t="s">
        <v>588</v>
      </c>
      <c r="F23" s="59">
        <f>SUM(G23:P23)</f>
        <v>2500</v>
      </c>
      <c r="G23" s="59">
        <v>0</v>
      </c>
      <c r="H23" s="59">
        <v>0</v>
      </c>
      <c r="I23" s="59">
        <v>0</v>
      </c>
      <c r="J23" s="59">
        <v>720</v>
      </c>
      <c r="K23" s="59">
        <v>720</v>
      </c>
      <c r="L23" s="59">
        <v>720</v>
      </c>
      <c r="M23" s="59">
        <v>340</v>
      </c>
      <c r="N23" s="59">
        <v>0</v>
      </c>
      <c r="O23" s="59">
        <v>0</v>
      </c>
      <c r="P23" s="59">
        <v>0</v>
      </c>
    </row>
    <row r="24" spans="3:16" ht="15">
      <c r="C24" s="36" t="s">
        <v>661</v>
      </c>
      <c r="G24" s="36">
        <f>G22</f>
        <v>0</v>
      </c>
      <c r="H24" s="59">
        <f>G24+H22</f>
        <v>0</v>
      </c>
      <c r="I24" s="59">
        <f>I23/50</f>
        <v>0</v>
      </c>
      <c r="J24" s="59">
        <f aca="true" t="shared" si="1" ref="J24:P24">I24+(J23/50)</f>
        <v>14.4</v>
      </c>
      <c r="K24" s="59">
        <f t="shared" si="1"/>
        <v>28.8</v>
      </c>
      <c r="L24" s="59">
        <f t="shared" si="1"/>
        <v>43.2</v>
      </c>
      <c r="M24" s="59">
        <f t="shared" si="1"/>
        <v>50</v>
      </c>
      <c r="N24" s="59">
        <f t="shared" si="1"/>
        <v>50</v>
      </c>
      <c r="O24" s="59">
        <f t="shared" si="1"/>
        <v>50</v>
      </c>
      <c r="P24" s="59">
        <f t="shared" si="1"/>
        <v>50</v>
      </c>
    </row>
    <row r="25" spans="3:16" ht="15">
      <c r="C25" s="36" t="s">
        <v>580</v>
      </c>
      <c r="F25" s="43"/>
      <c r="G25" s="43">
        <v>0</v>
      </c>
      <c r="H25" s="43">
        <v>0</v>
      </c>
      <c r="I25" s="43">
        <v>0</v>
      </c>
      <c r="J25" s="43">
        <v>20</v>
      </c>
      <c r="K25" s="43">
        <v>20</v>
      </c>
      <c r="L25" s="43">
        <v>20</v>
      </c>
      <c r="M25" s="43">
        <v>20</v>
      </c>
      <c r="N25" s="43">
        <v>0</v>
      </c>
      <c r="O25" s="43">
        <v>0</v>
      </c>
      <c r="P25" s="43">
        <v>0</v>
      </c>
    </row>
    <row r="27" ht="15">
      <c r="C27" s="58" t="s">
        <v>660</v>
      </c>
    </row>
    <row r="28" spans="3:16" ht="15">
      <c r="C28" s="36" t="s">
        <v>570</v>
      </c>
      <c r="F28" s="43">
        <f>SUM(G28:P28)</f>
        <v>56755.6979503172</v>
      </c>
      <c r="G28" s="43">
        <f>G23*G25*G19</f>
        <v>0</v>
      </c>
      <c r="H28" s="43">
        <f aca="true" t="shared" si="2" ref="H28:P28">H23*H25*H19</f>
        <v>0</v>
      </c>
      <c r="I28" s="43">
        <f t="shared" si="2"/>
        <v>0</v>
      </c>
      <c r="J28" s="43">
        <f t="shared" si="2"/>
        <v>15735.2688</v>
      </c>
      <c r="K28" s="43">
        <f t="shared" si="2"/>
        <v>16207.326864000002</v>
      </c>
      <c r="L28" s="43">
        <f t="shared" si="2"/>
        <v>16693.54666992</v>
      </c>
      <c r="M28" s="43">
        <f t="shared" si="2"/>
        <v>8119.5556163972005</v>
      </c>
      <c r="N28" s="43">
        <f t="shared" si="2"/>
        <v>0</v>
      </c>
      <c r="O28" s="43">
        <f t="shared" si="2"/>
        <v>0</v>
      </c>
      <c r="P28" s="43">
        <f t="shared" si="2"/>
        <v>0</v>
      </c>
    </row>
    <row r="30" spans="3:16" ht="15">
      <c r="C30" s="36" t="s">
        <v>581</v>
      </c>
      <c r="E30" s="56">
        <v>0.1</v>
      </c>
      <c r="F30" s="43">
        <f>SUM(G30:P30)</f>
        <v>5675.569795031721</v>
      </c>
      <c r="G30" s="43">
        <f aca="true" t="shared" si="3" ref="G30:P30">G28*$E$30</f>
        <v>0</v>
      </c>
      <c r="H30" s="43">
        <f t="shared" si="3"/>
        <v>0</v>
      </c>
      <c r="I30" s="43">
        <f t="shared" si="3"/>
        <v>0</v>
      </c>
      <c r="J30" s="43">
        <f t="shared" si="3"/>
        <v>1573.5268800000001</v>
      </c>
      <c r="K30" s="43">
        <f t="shared" si="3"/>
        <v>1620.7326864000004</v>
      </c>
      <c r="L30" s="43">
        <f t="shared" si="3"/>
        <v>1669.3546669920001</v>
      </c>
      <c r="M30" s="43">
        <f t="shared" si="3"/>
        <v>811.9555616397201</v>
      </c>
      <c r="N30" s="43">
        <f t="shared" si="3"/>
        <v>0</v>
      </c>
      <c r="O30" s="43">
        <f t="shared" si="3"/>
        <v>0</v>
      </c>
      <c r="P30" s="43">
        <f t="shared" si="3"/>
        <v>0</v>
      </c>
    </row>
    <row r="31" spans="3:16" ht="15">
      <c r="C31" s="36" t="s">
        <v>582</v>
      </c>
      <c r="E31" s="56">
        <v>0.05</v>
      </c>
      <c r="F31" s="43">
        <f>SUM(G31:P31)</f>
        <v>2837.7848975158604</v>
      </c>
      <c r="G31" s="43">
        <f aca="true" t="shared" si="4" ref="G31:P31">G28*$E$31</f>
        <v>0</v>
      </c>
      <c r="H31" s="43">
        <f t="shared" si="4"/>
        <v>0</v>
      </c>
      <c r="I31" s="43">
        <f t="shared" si="4"/>
        <v>0</v>
      </c>
      <c r="J31" s="43">
        <f t="shared" si="4"/>
        <v>786.7634400000001</v>
      </c>
      <c r="K31" s="43">
        <f t="shared" si="4"/>
        <v>810.3663432000002</v>
      </c>
      <c r="L31" s="43">
        <f t="shared" si="4"/>
        <v>834.6773334960001</v>
      </c>
      <c r="M31" s="43">
        <f t="shared" si="4"/>
        <v>405.9777808198601</v>
      </c>
      <c r="N31" s="43">
        <f t="shared" si="4"/>
        <v>0</v>
      </c>
      <c r="O31" s="43">
        <f t="shared" si="4"/>
        <v>0</v>
      </c>
      <c r="P31" s="43">
        <f t="shared" si="4"/>
        <v>0</v>
      </c>
    </row>
    <row r="32" spans="3:16" ht="15">
      <c r="C32" s="36" t="s">
        <v>586</v>
      </c>
      <c r="E32" s="56">
        <v>0.25</v>
      </c>
      <c r="F32" s="43">
        <f>SUM(G32:P32)</f>
        <v>14188.9244875793</v>
      </c>
      <c r="G32" s="43">
        <f aca="true" t="shared" si="5" ref="G32:P32">H28*$E$32</f>
        <v>0</v>
      </c>
      <c r="H32" s="43">
        <f t="shared" si="5"/>
        <v>0</v>
      </c>
      <c r="I32" s="43">
        <f t="shared" si="5"/>
        <v>3933.8172</v>
      </c>
      <c r="J32" s="43">
        <f t="shared" si="5"/>
        <v>4051.8317160000006</v>
      </c>
      <c r="K32" s="43">
        <f t="shared" si="5"/>
        <v>4173.38666748</v>
      </c>
      <c r="L32" s="43">
        <f t="shared" si="5"/>
        <v>2029.8889040993001</v>
      </c>
      <c r="M32" s="43">
        <f t="shared" si="5"/>
        <v>0</v>
      </c>
      <c r="N32" s="43">
        <f t="shared" si="5"/>
        <v>0</v>
      </c>
      <c r="O32" s="43">
        <f t="shared" si="5"/>
        <v>0</v>
      </c>
      <c r="P32" s="43">
        <f t="shared" si="5"/>
        <v>0</v>
      </c>
    </row>
    <row r="33" spans="6:16" ht="15">
      <c r="F33" s="44" t="s">
        <v>560</v>
      </c>
      <c r="G33" s="44" t="s">
        <v>560</v>
      </c>
      <c r="H33" s="44" t="s">
        <v>560</v>
      </c>
      <c r="I33" s="44" t="s">
        <v>560</v>
      </c>
      <c r="J33" s="44" t="s">
        <v>560</v>
      </c>
      <c r="K33" s="44" t="s">
        <v>560</v>
      </c>
      <c r="L33" s="44" t="s">
        <v>560</v>
      </c>
      <c r="M33" s="44" t="s">
        <v>560</v>
      </c>
      <c r="N33" s="44" t="s">
        <v>560</v>
      </c>
      <c r="O33" s="44" t="s">
        <v>560</v>
      </c>
      <c r="P33" s="44" t="s">
        <v>560</v>
      </c>
    </row>
    <row r="34" spans="3:16" ht="15">
      <c r="C34" s="36" t="s">
        <v>574</v>
      </c>
      <c r="F34" s="43">
        <f>SUM(G34:P34)</f>
        <v>34053.41877019033</v>
      </c>
      <c r="G34" s="43">
        <f aca="true" t="shared" si="6" ref="G34:P34">G28-G30-G31-G32</f>
        <v>0</v>
      </c>
      <c r="H34" s="43">
        <f t="shared" si="6"/>
        <v>0</v>
      </c>
      <c r="I34" s="43">
        <f t="shared" si="6"/>
        <v>-3933.8172</v>
      </c>
      <c r="J34" s="43">
        <f t="shared" si="6"/>
        <v>9323.146764</v>
      </c>
      <c r="K34" s="43">
        <f t="shared" si="6"/>
        <v>9602.841166920003</v>
      </c>
      <c r="L34" s="43">
        <f t="shared" si="6"/>
        <v>12159.625765332701</v>
      </c>
      <c r="M34" s="43">
        <f t="shared" si="6"/>
        <v>6901.622273937621</v>
      </c>
      <c r="N34" s="43">
        <f t="shared" si="6"/>
        <v>0</v>
      </c>
      <c r="O34" s="43">
        <f t="shared" si="6"/>
        <v>0</v>
      </c>
      <c r="P34" s="43">
        <f t="shared" si="6"/>
        <v>0</v>
      </c>
    </row>
    <row r="36" spans="3:5" ht="15">
      <c r="C36" s="58" t="s">
        <v>575</v>
      </c>
      <c r="E36" s="41" t="s">
        <v>584</v>
      </c>
    </row>
    <row r="37" spans="3:16" ht="15">
      <c r="C37" s="36" t="s">
        <v>585</v>
      </c>
      <c r="E37" s="43">
        <v>180</v>
      </c>
      <c r="F37" s="43">
        <f>SUM(G37:P37)</f>
        <v>10102.73098761</v>
      </c>
      <c r="G37" s="43">
        <f>E37*G17*G22</f>
        <v>0</v>
      </c>
      <c r="H37" s="43">
        <f aca="true" t="shared" si="7" ref="H37:P37">$E37*H17*H22</f>
        <v>0</v>
      </c>
      <c r="I37" s="43">
        <f t="shared" si="7"/>
        <v>0</v>
      </c>
      <c r="J37" s="43">
        <f t="shared" si="7"/>
        <v>3933.8171999999995</v>
      </c>
      <c r="K37" s="43">
        <f t="shared" si="7"/>
        <v>3038.8737870000004</v>
      </c>
      <c r="L37" s="43">
        <f t="shared" si="7"/>
        <v>3130.0400006100003</v>
      </c>
      <c r="M37" s="43">
        <f t="shared" si="7"/>
        <v>0</v>
      </c>
      <c r="N37" s="43">
        <f t="shared" si="7"/>
        <v>0</v>
      </c>
      <c r="O37" s="43">
        <f t="shared" si="7"/>
        <v>0</v>
      </c>
      <c r="P37" s="43">
        <f t="shared" si="7"/>
        <v>0</v>
      </c>
    </row>
    <row r="38" spans="3:16" ht="15">
      <c r="C38" s="36" t="s">
        <v>589</v>
      </c>
      <c r="E38" s="43">
        <v>30</v>
      </c>
      <c r="F38" s="43">
        <f>SUM(G38:P38)</f>
        <v>1683.7884979350001</v>
      </c>
      <c r="G38" s="43">
        <f aca="true" t="shared" si="8" ref="G38:P38">$E$38*G17*G22</f>
        <v>0</v>
      </c>
      <c r="H38" s="43">
        <f t="shared" si="8"/>
        <v>0</v>
      </c>
      <c r="I38" s="43">
        <f t="shared" si="8"/>
        <v>0</v>
      </c>
      <c r="J38" s="43">
        <f t="shared" si="8"/>
        <v>655.6362</v>
      </c>
      <c r="K38" s="43">
        <f t="shared" si="8"/>
        <v>506.4789645000001</v>
      </c>
      <c r="L38" s="43">
        <f t="shared" si="8"/>
        <v>521.673333435</v>
      </c>
      <c r="M38" s="43">
        <f t="shared" si="8"/>
        <v>0</v>
      </c>
      <c r="N38" s="43">
        <f t="shared" si="8"/>
        <v>0</v>
      </c>
      <c r="O38" s="43">
        <f t="shared" si="8"/>
        <v>0</v>
      </c>
      <c r="P38" s="43">
        <f t="shared" si="8"/>
        <v>0</v>
      </c>
    </row>
    <row r="39" spans="3:16" ht="15">
      <c r="C39" s="36" t="s">
        <v>577</v>
      </c>
      <c r="E39" s="43">
        <v>10</v>
      </c>
      <c r="F39" s="43">
        <f>SUM(G39:P39)</f>
        <v>561.262832645</v>
      </c>
      <c r="G39" s="43">
        <f aca="true" t="shared" si="9" ref="G39:P39">$E$39*G17*G22</f>
        <v>0</v>
      </c>
      <c r="H39" s="43">
        <f t="shared" si="9"/>
        <v>0</v>
      </c>
      <c r="I39" s="43">
        <f t="shared" si="9"/>
        <v>0</v>
      </c>
      <c r="J39" s="43">
        <f t="shared" si="9"/>
        <v>218.5454</v>
      </c>
      <c r="K39" s="43">
        <f t="shared" si="9"/>
        <v>168.82632150000003</v>
      </c>
      <c r="L39" s="43">
        <f t="shared" si="9"/>
        <v>173.891111145</v>
      </c>
      <c r="M39" s="43">
        <f t="shared" si="9"/>
        <v>0</v>
      </c>
      <c r="N39" s="43">
        <f t="shared" si="9"/>
        <v>0</v>
      </c>
      <c r="O39" s="43">
        <f t="shared" si="9"/>
        <v>0</v>
      </c>
      <c r="P39" s="43">
        <f t="shared" si="9"/>
        <v>0</v>
      </c>
    </row>
    <row r="41" spans="3:16" ht="15">
      <c r="C41" s="36" t="s">
        <v>537</v>
      </c>
      <c r="E41" s="56">
        <v>0.2</v>
      </c>
      <c r="F41" s="43">
        <f>SUM(G41:P41)</f>
        <v>2020.5461975220003</v>
      </c>
      <c r="G41" s="43">
        <f aca="true" t="shared" si="10" ref="G41:P42">G$37*$E41</f>
        <v>0</v>
      </c>
      <c r="H41" s="43">
        <f t="shared" si="10"/>
        <v>0</v>
      </c>
      <c r="I41" s="43">
        <f t="shared" si="10"/>
        <v>0</v>
      </c>
      <c r="J41" s="43">
        <f t="shared" si="10"/>
        <v>786.76344</v>
      </c>
      <c r="K41" s="43">
        <f t="shared" si="10"/>
        <v>607.7747574000001</v>
      </c>
      <c r="L41" s="43">
        <f t="shared" si="10"/>
        <v>626.0080001220001</v>
      </c>
      <c r="M41" s="43">
        <f t="shared" si="10"/>
        <v>0</v>
      </c>
      <c r="N41" s="43">
        <f t="shared" si="10"/>
        <v>0</v>
      </c>
      <c r="O41" s="43">
        <f t="shared" si="10"/>
        <v>0</v>
      </c>
      <c r="P41" s="43">
        <f t="shared" si="10"/>
        <v>0</v>
      </c>
    </row>
    <row r="42" spans="3:16" ht="15">
      <c r="C42" s="36" t="s">
        <v>538</v>
      </c>
      <c r="E42" s="56">
        <v>0.05</v>
      </c>
      <c r="F42" s="43">
        <f>SUM(G42:P42)</f>
        <v>505.13654938050007</v>
      </c>
      <c r="G42" s="43">
        <f t="shared" si="10"/>
        <v>0</v>
      </c>
      <c r="H42" s="43">
        <f t="shared" si="10"/>
        <v>0</v>
      </c>
      <c r="I42" s="43">
        <f t="shared" si="10"/>
        <v>0</v>
      </c>
      <c r="J42" s="43">
        <f t="shared" si="10"/>
        <v>196.69086</v>
      </c>
      <c r="K42" s="43">
        <f t="shared" si="10"/>
        <v>151.94368935000003</v>
      </c>
      <c r="L42" s="43">
        <f t="shared" si="10"/>
        <v>156.50200003050003</v>
      </c>
      <c r="M42" s="43">
        <f t="shared" si="10"/>
        <v>0</v>
      </c>
      <c r="N42" s="43">
        <f t="shared" si="10"/>
        <v>0</v>
      </c>
      <c r="O42" s="43">
        <f t="shared" si="10"/>
        <v>0</v>
      </c>
      <c r="P42" s="43">
        <f t="shared" si="10"/>
        <v>0</v>
      </c>
    </row>
    <row r="43" spans="6:16" ht="15">
      <c r="F43" s="44" t="s">
        <v>560</v>
      </c>
      <c r="G43" s="44" t="s">
        <v>560</v>
      </c>
      <c r="H43" s="44" t="s">
        <v>560</v>
      </c>
      <c r="I43" s="44" t="s">
        <v>560</v>
      </c>
      <c r="J43" s="44" t="s">
        <v>560</v>
      </c>
      <c r="K43" s="44" t="s">
        <v>560</v>
      </c>
      <c r="L43" s="44" t="s">
        <v>560</v>
      </c>
      <c r="M43" s="44" t="s">
        <v>560</v>
      </c>
      <c r="N43" s="44" t="s">
        <v>560</v>
      </c>
      <c r="O43" s="44" t="s">
        <v>560</v>
      </c>
      <c r="P43" s="44" t="s">
        <v>560</v>
      </c>
    </row>
    <row r="44" spans="3:16" ht="15">
      <c r="C44" s="36" t="s">
        <v>579</v>
      </c>
      <c r="F44" s="43">
        <f>SUM(G44:P44)</f>
        <v>14873.4650650925</v>
      </c>
      <c r="G44" s="43">
        <f aca="true" t="shared" si="11" ref="G44:P44">SUM(G37:G42)</f>
        <v>0</v>
      </c>
      <c r="H44" s="43">
        <f t="shared" si="11"/>
        <v>0</v>
      </c>
      <c r="I44" s="43">
        <f t="shared" si="11"/>
        <v>0</v>
      </c>
      <c r="J44" s="43">
        <f t="shared" si="11"/>
        <v>5791.453099999999</v>
      </c>
      <c r="K44" s="43">
        <f t="shared" si="11"/>
        <v>4473.89751975</v>
      </c>
      <c r="L44" s="43">
        <f t="shared" si="11"/>
        <v>4608.114445342501</v>
      </c>
      <c r="M44" s="43">
        <f t="shared" si="11"/>
        <v>0</v>
      </c>
      <c r="N44" s="43">
        <f t="shared" si="11"/>
        <v>0</v>
      </c>
      <c r="O44" s="43">
        <f t="shared" si="11"/>
        <v>0</v>
      </c>
      <c r="P44" s="43">
        <f t="shared" si="11"/>
        <v>0</v>
      </c>
    </row>
    <row r="45" spans="6:16" ht="15">
      <c r="F45" s="44" t="s">
        <v>560</v>
      </c>
      <c r="G45" s="44" t="s">
        <v>560</v>
      </c>
      <c r="H45" s="44" t="s">
        <v>560</v>
      </c>
      <c r="I45" s="44" t="s">
        <v>560</v>
      </c>
      <c r="J45" s="44" t="s">
        <v>560</v>
      </c>
      <c r="K45" s="44" t="s">
        <v>560</v>
      </c>
      <c r="L45" s="44" t="s">
        <v>560</v>
      </c>
      <c r="M45" s="44" t="s">
        <v>560</v>
      </c>
      <c r="N45" s="44" t="s">
        <v>560</v>
      </c>
      <c r="O45" s="44" t="s">
        <v>560</v>
      </c>
      <c r="P45" s="44" t="s">
        <v>560</v>
      </c>
    </row>
    <row r="46" spans="3:16" ht="15">
      <c r="C46" s="36" t="s">
        <v>563</v>
      </c>
      <c r="F46" s="43">
        <f>SUM(G46:P46)</f>
        <v>19179.953705097825</v>
      </c>
      <c r="G46" s="43">
        <f aca="true" t="shared" si="12" ref="G46:P46">G34-G44</f>
        <v>0</v>
      </c>
      <c r="H46" s="43">
        <f t="shared" si="12"/>
        <v>0</v>
      </c>
      <c r="I46" s="43">
        <f t="shared" si="12"/>
        <v>-3933.8172</v>
      </c>
      <c r="J46" s="43">
        <f t="shared" si="12"/>
        <v>3531.6936640000004</v>
      </c>
      <c r="K46" s="43">
        <f t="shared" si="12"/>
        <v>5128.943647170003</v>
      </c>
      <c r="L46" s="43">
        <f t="shared" si="12"/>
        <v>7551.5113199902</v>
      </c>
      <c r="M46" s="43">
        <f t="shared" si="12"/>
        <v>6901.622273937621</v>
      </c>
      <c r="N46" s="43">
        <f t="shared" si="12"/>
        <v>0</v>
      </c>
      <c r="O46" s="43">
        <f t="shared" si="12"/>
        <v>0</v>
      </c>
      <c r="P46" s="43">
        <f t="shared" si="12"/>
        <v>0</v>
      </c>
    </row>
    <row r="47" spans="3:16" ht="15">
      <c r="C47" s="36" t="s">
        <v>564</v>
      </c>
      <c r="G47" s="43">
        <f>G46</f>
        <v>0</v>
      </c>
      <c r="H47" s="43">
        <f aca="true" t="shared" si="13" ref="H47:P47">G47+H46</f>
        <v>0</v>
      </c>
      <c r="I47" s="43">
        <f t="shared" si="13"/>
        <v>-3933.8172</v>
      </c>
      <c r="J47" s="43">
        <f t="shared" si="13"/>
        <v>-402.1235359999996</v>
      </c>
      <c r="K47" s="43">
        <f t="shared" si="13"/>
        <v>4726.820111170004</v>
      </c>
      <c r="L47" s="43">
        <f t="shared" si="13"/>
        <v>12278.331431160204</v>
      </c>
      <c r="M47" s="43">
        <f t="shared" si="13"/>
        <v>19179.953705097825</v>
      </c>
      <c r="N47" s="43">
        <f t="shared" si="13"/>
        <v>19179.953705097825</v>
      </c>
      <c r="O47" s="43">
        <f t="shared" si="13"/>
        <v>19179.953705097825</v>
      </c>
      <c r="P47" s="43">
        <f t="shared" si="13"/>
        <v>19179.953705097825</v>
      </c>
    </row>
    <row r="50" spans="2:6" ht="15">
      <c r="B50" s="36">
        <v>1</v>
      </c>
      <c r="C50" s="45"/>
      <c r="D50" s="46"/>
      <c r="E50" s="47"/>
      <c r="F50" s="40" t="b">
        <f>ISERR(E50)</f>
        <v>0</v>
      </c>
    </row>
    <row r="51" spans="3:5" ht="15">
      <c r="C51" s="48" t="s">
        <v>566</v>
      </c>
      <c r="D51" s="49">
        <f>C!D41</f>
        <v>0.12</v>
      </c>
      <c r="E51" s="50">
        <f>NPV(D51,G46:P46)</f>
        <v>9302.516223059869</v>
      </c>
    </row>
    <row r="55" ht="15">
      <c r="C55" s="36" t="s">
        <v>543</v>
      </c>
    </row>
  </sheetData>
  <printOptions/>
  <pageMargins left="0.75" right="0.5" top="0.75" bottom="0.55" header="0.5" footer="0.5"/>
  <pageSetup fitToHeight="1" fitToWidth="1" horizontalDpi="600" verticalDpi="600" orientation="landscape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0:P51"/>
  <sheetViews>
    <sheetView showGridLines="0" workbookViewId="0" topLeftCell="A10">
      <selection activeCell="C10" sqref="C10"/>
    </sheetView>
  </sheetViews>
  <sheetFormatPr defaultColWidth="9.796875" defaultRowHeight="15"/>
  <cols>
    <col min="1" max="3" width="9.69921875" style="36" customWidth="1"/>
    <col min="4" max="4" width="16.5" style="36" customWidth="1"/>
    <col min="5" max="5" width="9.69921875" style="36" customWidth="1"/>
    <col min="6" max="16" width="11.59765625" style="36" customWidth="1"/>
    <col min="17" max="16384" width="9.69921875" style="36" customWidth="1"/>
  </cols>
  <sheetData>
    <row r="10" ht="15.75">
      <c r="C10" s="35" t="s">
        <v>702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105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664</v>
      </c>
    </row>
    <row r="22" ht="15">
      <c r="C22" s="58" t="s">
        <v>590</v>
      </c>
    </row>
    <row r="23" spans="3:16" ht="15">
      <c r="C23" s="36" t="s">
        <v>591</v>
      </c>
      <c r="F23" s="59">
        <f>SUM(G23:P23)</f>
        <v>425</v>
      </c>
      <c r="G23" s="59">
        <f>D!G22+E!G22+F!G22</f>
        <v>0</v>
      </c>
      <c r="H23" s="59">
        <f>D!H22+E!H22+F!H22</f>
        <v>0</v>
      </c>
      <c r="I23" s="59">
        <v>100</v>
      </c>
      <c r="J23" s="59">
        <v>100</v>
      </c>
      <c r="K23" s="59">
        <v>75</v>
      </c>
      <c r="L23" s="59">
        <v>75</v>
      </c>
      <c r="M23" s="59">
        <v>75</v>
      </c>
      <c r="N23" s="59">
        <f>D!N22+E!N22+F!N22</f>
        <v>0</v>
      </c>
      <c r="O23" s="59">
        <f>D!O22+E!O22+F!O22</f>
        <v>0</v>
      </c>
      <c r="P23" s="59">
        <f>D!P22+E!P22+F!P22</f>
        <v>0</v>
      </c>
    </row>
    <row r="24" spans="3:16" ht="15">
      <c r="C24" s="36" t="s">
        <v>592</v>
      </c>
      <c r="G24" s="59">
        <f>G23</f>
        <v>0</v>
      </c>
      <c r="H24" s="59">
        <f aca="true" t="shared" si="1" ref="H24:P24">G24+H23</f>
        <v>0</v>
      </c>
      <c r="I24" s="59">
        <f t="shared" si="1"/>
        <v>100</v>
      </c>
      <c r="J24" s="59">
        <f t="shared" si="1"/>
        <v>200</v>
      </c>
      <c r="K24" s="59">
        <f t="shared" si="1"/>
        <v>275</v>
      </c>
      <c r="L24" s="59">
        <f t="shared" si="1"/>
        <v>350</v>
      </c>
      <c r="M24" s="59">
        <f t="shared" si="1"/>
        <v>425</v>
      </c>
      <c r="N24" s="59">
        <f t="shared" si="1"/>
        <v>425</v>
      </c>
      <c r="O24" s="59">
        <f t="shared" si="1"/>
        <v>425</v>
      </c>
      <c r="P24" s="59">
        <f t="shared" si="1"/>
        <v>425</v>
      </c>
    </row>
    <row r="25" spans="3:16" ht="15">
      <c r="C25" s="36" t="s">
        <v>665</v>
      </c>
      <c r="G25" s="64">
        <v>0</v>
      </c>
      <c r="H25" s="64">
        <v>0</v>
      </c>
      <c r="I25" s="64">
        <v>25000</v>
      </c>
      <c r="J25" s="64">
        <v>27000</v>
      </c>
      <c r="K25" s="64">
        <v>28000</v>
      </c>
      <c r="L25" s="64">
        <v>30000</v>
      </c>
      <c r="M25" s="64">
        <v>30000</v>
      </c>
      <c r="N25" s="64">
        <v>30000</v>
      </c>
      <c r="O25" s="64">
        <v>30000</v>
      </c>
      <c r="P25" s="64">
        <v>30000</v>
      </c>
    </row>
    <row r="26" spans="3:16" ht="15">
      <c r="C26" s="36" t="s">
        <v>678</v>
      </c>
      <c r="E26" s="71">
        <v>0.05</v>
      </c>
      <c r="G26" s="64"/>
      <c r="H26" s="64"/>
      <c r="I26" s="64"/>
      <c r="J26" s="64"/>
      <c r="K26" s="59">
        <f aca="true" t="shared" si="2" ref="K26:P26">ROUND($E$26*K24,0)</f>
        <v>14</v>
      </c>
      <c r="L26" s="59">
        <f t="shared" si="2"/>
        <v>18</v>
      </c>
      <c r="M26" s="59">
        <f t="shared" si="2"/>
        <v>21</v>
      </c>
      <c r="N26" s="59">
        <f t="shared" si="2"/>
        <v>21</v>
      </c>
      <c r="O26" s="59">
        <f t="shared" si="2"/>
        <v>21</v>
      </c>
      <c r="P26" s="59">
        <f t="shared" si="2"/>
        <v>21</v>
      </c>
    </row>
    <row r="27" spans="3:16" ht="15">
      <c r="C27" s="36" t="s">
        <v>679</v>
      </c>
      <c r="E27" s="71">
        <v>0.25</v>
      </c>
      <c r="G27" s="64"/>
      <c r="H27" s="64"/>
      <c r="I27" s="64"/>
      <c r="J27" s="64"/>
      <c r="K27" s="64">
        <f aca="true" t="shared" si="3" ref="K27:P27">$E27*K25</f>
        <v>7000</v>
      </c>
      <c r="L27" s="64">
        <f t="shared" si="3"/>
        <v>7500</v>
      </c>
      <c r="M27" s="64">
        <f t="shared" si="3"/>
        <v>7500</v>
      </c>
      <c r="N27" s="64">
        <f t="shared" si="3"/>
        <v>7500</v>
      </c>
      <c r="O27" s="64">
        <f t="shared" si="3"/>
        <v>7500</v>
      </c>
      <c r="P27" s="64">
        <f t="shared" si="3"/>
        <v>7500</v>
      </c>
    </row>
    <row r="28" spans="6:16" ht="15">
      <c r="F28" s="44" t="s">
        <v>560</v>
      </c>
      <c r="G28" s="44" t="s">
        <v>560</v>
      </c>
      <c r="H28" s="44" t="s">
        <v>560</v>
      </c>
      <c r="I28" s="44" t="s">
        <v>560</v>
      </c>
      <c r="J28" s="44" t="s">
        <v>560</v>
      </c>
      <c r="K28" s="44" t="s">
        <v>560</v>
      </c>
      <c r="L28" s="44" t="s">
        <v>560</v>
      </c>
      <c r="M28" s="44" t="s">
        <v>560</v>
      </c>
      <c r="N28" s="44" t="s">
        <v>560</v>
      </c>
      <c r="O28" s="44" t="s">
        <v>560</v>
      </c>
      <c r="P28" s="44" t="s">
        <v>560</v>
      </c>
    </row>
    <row r="29" spans="3:16" ht="15">
      <c r="C29" s="36" t="s">
        <v>662</v>
      </c>
      <c r="F29" s="43">
        <f>SUM(G29:P29)</f>
        <v>14314.75403355514</v>
      </c>
      <c r="G29" s="43">
        <f>(+G23*G25*G19)/1000</f>
        <v>0</v>
      </c>
      <c r="H29" s="43">
        <f>((+H23*H25*H19)+(H26*H27*H19))*0.001</f>
        <v>0</v>
      </c>
      <c r="I29" s="43">
        <f aca="true" t="shared" si="4" ref="I29:P29">((+I23*I25*I19)+(I26*I27*I19))*0.001</f>
        <v>2652.25</v>
      </c>
      <c r="J29" s="43">
        <f t="shared" si="4"/>
        <v>2950.3629</v>
      </c>
      <c r="K29" s="43">
        <f t="shared" si="4"/>
        <v>2473.86836438</v>
      </c>
      <c r="L29" s="43">
        <f t="shared" si="4"/>
        <v>2764.8686672055</v>
      </c>
      <c r="M29" s="43">
        <f t="shared" si="4"/>
        <v>2874.680903893568</v>
      </c>
      <c r="N29" s="43">
        <f t="shared" si="4"/>
        <v>193.70513380441707</v>
      </c>
      <c r="O29" s="43">
        <f t="shared" si="4"/>
        <v>199.51628781854959</v>
      </c>
      <c r="P29" s="43">
        <f t="shared" si="4"/>
        <v>205.5017764531061</v>
      </c>
    </row>
    <row r="30" spans="6:16" ht="15"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</row>
    <row r="31" spans="3:16" ht="15">
      <c r="C31" s="36" t="s">
        <v>594</v>
      </c>
      <c r="G31" s="64">
        <v>0</v>
      </c>
      <c r="H31" s="64">
        <v>0</v>
      </c>
      <c r="I31" s="64">
        <v>350</v>
      </c>
      <c r="J31" s="64">
        <v>350</v>
      </c>
      <c r="K31" s="64">
        <v>350</v>
      </c>
      <c r="L31" s="64">
        <v>350</v>
      </c>
      <c r="M31" s="64">
        <v>350</v>
      </c>
      <c r="N31" s="64">
        <v>350</v>
      </c>
      <c r="O31" s="64">
        <v>350</v>
      </c>
      <c r="P31" s="64">
        <v>350</v>
      </c>
    </row>
    <row r="33" ht="15">
      <c r="C33" s="58" t="s">
        <v>595</v>
      </c>
    </row>
    <row r="34" spans="3:16" ht="15">
      <c r="C34" s="36" t="s">
        <v>596</v>
      </c>
      <c r="E34" s="59">
        <v>50</v>
      </c>
      <c r="G34" s="59">
        <f aca="true" t="shared" si="5" ref="G34:P34">$E$34*G24</f>
        <v>0</v>
      </c>
      <c r="H34" s="59">
        <f t="shared" si="5"/>
        <v>0</v>
      </c>
      <c r="I34" s="59">
        <f t="shared" si="5"/>
        <v>5000</v>
      </c>
      <c r="J34" s="59">
        <f t="shared" si="5"/>
        <v>10000</v>
      </c>
      <c r="K34" s="59">
        <f t="shared" si="5"/>
        <v>13750</v>
      </c>
      <c r="L34" s="59">
        <f t="shared" si="5"/>
        <v>17500</v>
      </c>
      <c r="M34" s="59">
        <f t="shared" si="5"/>
        <v>21250</v>
      </c>
      <c r="N34" s="59">
        <f t="shared" si="5"/>
        <v>21250</v>
      </c>
      <c r="O34" s="59">
        <f t="shared" si="5"/>
        <v>21250</v>
      </c>
      <c r="P34" s="59">
        <f t="shared" si="5"/>
        <v>21250</v>
      </c>
    </row>
    <row r="35" spans="3:16" ht="15">
      <c r="C35" s="36" t="s">
        <v>597</v>
      </c>
      <c r="E35" s="59">
        <v>10</v>
      </c>
      <c r="G35" s="59">
        <f aca="true" t="shared" si="6" ref="G35:P35">$E$35*G24</f>
        <v>0</v>
      </c>
      <c r="H35" s="59">
        <f t="shared" si="6"/>
        <v>0</v>
      </c>
      <c r="I35" s="59">
        <f t="shared" si="6"/>
        <v>1000</v>
      </c>
      <c r="J35" s="59">
        <f t="shared" si="6"/>
        <v>2000</v>
      </c>
      <c r="K35" s="59">
        <f t="shared" si="6"/>
        <v>2750</v>
      </c>
      <c r="L35" s="59">
        <f t="shared" si="6"/>
        <v>3500</v>
      </c>
      <c r="M35" s="59">
        <f t="shared" si="6"/>
        <v>4250</v>
      </c>
      <c r="N35" s="59">
        <f t="shared" si="6"/>
        <v>4250</v>
      </c>
      <c r="O35" s="59">
        <f t="shared" si="6"/>
        <v>4250</v>
      </c>
      <c r="P35" s="59">
        <f t="shared" si="6"/>
        <v>4250</v>
      </c>
    </row>
    <row r="36" spans="3:16" ht="15">
      <c r="C36" s="36" t="s">
        <v>598</v>
      </c>
      <c r="E36" s="56">
        <v>0.15</v>
      </c>
      <c r="F36" s="36" t="s">
        <v>599</v>
      </c>
      <c r="G36" s="59">
        <f>$E$36*K!G24</f>
        <v>0</v>
      </c>
      <c r="H36" s="59">
        <f>$E$36*K!H24</f>
        <v>0</v>
      </c>
      <c r="I36" s="59">
        <f>$E$36*K!I24</f>
        <v>4516.875</v>
      </c>
      <c r="J36" s="59">
        <f>$E$36*K!J24</f>
        <v>5338.125</v>
      </c>
      <c r="K36" s="59">
        <f>$E$36*K!K24</f>
        <v>5748.75</v>
      </c>
      <c r="L36" s="59">
        <f>$E$36*K!L24</f>
        <v>5748.75</v>
      </c>
      <c r="M36" s="59">
        <f>$E$36*K!M24</f>
        <v>5748.75</v>
      </c>
      <c r="N36" s="59">
        <f>$E$36*K!N24</f>
        <v>5748.75</v>
      </c>
      <c r="O36" s="59">
        <f>$E$36*K!O24</f>
        <v>5748.75</v>
      </c>
      <c r="P36" s="59">
        <f>$E$36*K!P24</f>
        <v>5748.75</v>
      </c>
    </row>
    <row r="37" spans="3:16" ht="15">
      <c r="C37" s="36" t="s">
        <v>680</v>
      </c>
      <c r="E37" s="56">
        <v>0.3</v>
      </c>
      <c r="F37" s="36" t="s">
        <v>600</v>
      </c>
      <c r="G37" s="59">
        <f>$E$37*G!G24*0.8*365</f>
        <v>0</v>
      </c>
      <c r="H37" s="59">
        <f>$E$37*G!H24*0.8*365</f>
        <v>0</v>
      </c>
      <c r="I37" s="59">
        <f>$E$37*G!I24*0.8*365</f>
        <v>0</v>
      </c>
      <c r="J37" s="59">
        <f>$E$37*G!J24*0.8*365</f>
        <v>1261.44</v>
      </c>
      <c r="K37" s="59">
        <f>$E$37*G!K24*0.8*365</f>
        <v>2522.88</v>
      </c>
      <c r="L37" s="59">
        <f>$E$37*G!L24*0.8*365</f>
        <v>3784.3200000000006</v>
      </c>
      <c r="M37" s="59">
        <f>$E$37*G!M24*0.8*365</f>
        <v>4380</v>
      </c>
      <c r="N37" s="59">
        <f>$E$37*G!N24*0.8*365</f>
        <v>4380</v>
      </c>
      <c r="O37" s="59">
        <f>$E$37*G!O24*0.8*365</f>
        <v>4380</v>
      </c>
      <c r="P37" s="59">
        <f>$E$37*G!P24*0.8*365</f>
        <v>4380</v>
      </c>
    </row>
    <row r="38" spans="3:16" ht="15">
      <c r="C38" s="36" t="s">
        <v>601</v>
      </c>
      <c r="E38" s="59">
        <v>3000</v>
      </c>
      <c r="G38" s="59">
        <v>0</v>
      </c>
      <c r="H38" s="59">
        <v>0</v>
      </c>
      <c r="I38" s="59">
        <v>10000</v>
      </c>
      <c r="J38" s="59">
        <v>7000</v>
      </c>
      <c r="K38" s="59">
        <v>5000</v>
      </c>
      <c r="L38" s="59">
        <f>$E$38</f>
        <v>3000</v>
      </c>
      <c r="M38" s="59">
        <f>$E$38</f>
        <v>3000</v>
      </c>
      <c r="N38" s="59">
        <f>$E$38</f>
        <v>3000</v>
      </c>
      <c r="O38" s="59">
        <f>$E$38</f>
        <v>3000</v>
      </c>
      <c r="P38" s="59">
        <f>$E$38</f>
        <v>3000</v>
      </c>
    </row>
    <row r="39" spans="7:16" ht="15">
      <c r="G39" s="44" t="s">
        <v>560</v>
      </c>
      <c r="H39" s="44" t="s">
        <v>560</v>
      </c>
      <c r="I39" s="44" t="s">
        <v>560</v>
      </c>
      <c r="J39" s="44" t="s">
        <v>560</v>
      </c>
      <c r="K39" s="44" t="s">
        <v>560</v>
      </c>
      <c r="L39" s="44" t="s">
        <v>560</v>
      </c>
      <c r="M39" s="44" t="s">
        <v>560</v>
      </c>
      <c r="N39" s="44" t="s">
        <v>560</v>
      </c>
      <c r="O39" s="44" t="s">
        <v>560</v>
      </c>
      <c r="P39" s="44" t="s">
        <v>560</v>
      </c>
    </row>
    <row r="40" spans="3:16" ht="15">
      <c r="C40" s="36" t="s">
        <v>602</v>
      </c>
      <c r="G40" s="59">
        <f aca="true" t="shared" si="7" ref="G40:P40">SUM(G34:G38)</f>
        <v>0</v>
      </c>
      <c r="H40" s="59">
        <f t="shared" si="7"/>
        <v>0</v>
      </c>
      <c r="I40" s="59">
        <f t="shared" si="7"/>
        <v>20516.875</v>
      </c>
      <c r="J40" s="59">
        <f t="shared" si="7"/>
        <v>25599.565</v>
      </c>
      <c r="K40" s="59">
        <f t="shared" si="7"/>
        <v>29771.63</v>
      </c>
      <c r="L40" s="59">
        <f t="shared" si="7"/>
        <v>33533.07</v>
      </c>
      <c r="M40" s="59">
        <f t="shared" si="7"/>
        <v>38628.75</v>
      </c>
      <c r="N40" s="59">
        <f t="shared" si="7"/>
        <v>38628.75</v>
      </c>
      <c r="O40" s="59">
        <f t="shared" si="7"/>
        <v>38628.75</v>
      </c>
      <c r="P40" s="59">
        <f t="shared" si="7"/>
        <v>38628.75</v>
      </c>
    </row>
    <row r="41" spans="7:16" ht="15">
      <c r="G41" s="59"/>
      <c r="H41" s="59"/>
      <c r="I41" s="59"/>
      <c r="J41" s="59"/>
      <c r="K41" s="59"/>
      <c r="L41" s="59"/>
      <c r="M41" s="59"/>
      <c r="N41" s="59"/>
      <c r="O41" s="59"/>
      <c r="P41" s="59"/>
    </row>
    <row r="42" ht="15">
      <c r="C42" s="58" t="s">
        <v>663</v>
      </c>
    </row>
    <row r="43" spans="3:16" ht="15">
      <c r="C43" s="36" t="s">
        <v>603</v>
      </c>
      <c r="E43" s="65">
        <v>50</v>
      </c>
      <c r="F43" s="43">
        <f>SUM(G43:P43)</f>
        <v>1581.4853776512805</v>
      </c>
      <c r="G43" s="43">
        <f>(+$E$43*G35*G19)/1000</f>
        <v>0</v>
      </c>
      <c r="H43" s="43">
        <f aca="true" t="shared" si="8" ref="H43:P43">(+$E$43*H35*H19)/1000</f>
        <v>0</v>
      </c>
      <c r="I43" s="43">
        <f t="shared" si="8"/>
        <v>53.045</v>
      </c>
      <c r="J43" s="43">
        <f t="shared" si="8"/>
        <v>109.2727</v>
      </c>
      <c r="K43" s="43">
        <f t="shared" si="8"/>
        <v>154.75746137500002</v>
      </c>
      <c r="L43" s="43">
        <f t="shared" si="8"/>
        <v>202.8729630025</v>
      </c>
      <c r="M43" s="43">
        <f t="shared" si="8"/>
        <v>253.73611301241255</v>
      </c>
      <c r="N43" s="43">
        <f t="shared" si="8"/>
        <v>261.34819640278494</v>
      </c>
      <c r="O43" s="43">
        <f t="shared" si="8"/>
        <v>269.1886422948685</v>
      </c>
      <c r="P43" s="43">
        <f t="shared" si="8"/>
        <v>277.2643015637145</v>
      </c>
    </row>
    <row r="44" spans="3:16" ht="15">
      <c r="C44" s="36" t="s">
        <v>604</v>
      </c>
      <c r="E44" s="65">
        <v>60</v>
      </c>
      <c r="F44" s="43">
        <f>SUM(G44:P44)</f>
        <v>3148.6449887965423</v>
      </c>
      <c r="G44" s="43">
        <f>($E$44*G36*G19)/1000</f>
        <v>0</v>
      </c>
      <c r="H44" s="43">
        <f aca="true" t="shared" si="9" ref="H44:P44">($E$44*H36*H19)/1000</f>
        <v>0</v>
      </c>
      <c r="I44" s="43">
        <f t="shared" si="9"/>
        <v>287.51716125</v>
      </c>
      <c r="J44" s="43">
        <f t="shared" si="9"/>
        <v>349.9867990125</v>
      </c>
      <c r="K44" s="43">
        <f t="shared" si="9"/>
        <v>388.21612628925004</v>
      </c>
      <c r="L44" s="43">
        <f t="shared" si="9"/>
        <v>399.8626100779275</v>
      </c>
      <c r="M44" s="43">
        <f t="shared" si="9"/>
        <v>411.8584883802654</v>
      </c>
      <c r="N44" s="43">
        <f t="shared" si="9"/>
        <v>424.2142430316734</v>
      </c>
      <c r="O44" s="43">
        <f t="shared" si="9"/>
        <v>436.9406703226236</v>
      </c>
      <c r="P44" s="43">
        <f t="shared" si="9"/>
        <v>450.0488904323023</v>
      </c>
    </row>
    <row r="45" spans="3:16" ht="15">
      <c r="C45" s="36" t="s">
        <v>605</v>
      </c>
      <c r="E45" s="65">
        <v>60</v>
      </c>
      <c r="F45" s="43">
        <f>SUM(G45:P45)</f>
        <v>1829.109202158935</v>
      </c>
      <c r="G45" s="43">
        <f>($E$45*G37*G19)/1000</f>
        <v>0</v>
      </c>
      <c r="H45" s="43">
        <f aca="true" t="shared" si="10" ref="H45:P45">($E$45*H37*H19)/1000</f>
        <v>0</v>
      </c>
      <c r="I45" s="43">
        <f t="shared" si="10"/>
        <v>0</v>
      </c>
      <c r="J45" s="43">
        <f t="shared" si="10"/>
        <v>82.70457281280001</v>
      </c>
      <c r="K45" s="43">
        <f t="shared" si="10"/>
        <v>170.37141999436804</v>
      </c>
      <c r="L45" s="43">
        <f t="shared" si="10"/>
        <v>263.22384389129866</v>
      </c>
      <c r="M45" s="43">
        <f t="shared" si="10"/>
        <v>313.7969435278212</v>
      </c>
      <c r="N45" s="43">
        <f t="shared" si="10"/>
        <v>323.2108518336559</v>
      </c>
      <c r="O45" s="43">
        <f t="shared" si="10"/>
        <v>332.90717738866556</v>
      </c>
      <c r="P45" s="43">
        <f t="shared" si="10"/>
        <v>342.8943927103255</v>
      </c>
    </row>
    <row r="46" spans="3:16" ht="15">
      <c r="C46" s="36" t="s">
        <v>601</v>
      </c>
      <c r="E46" s="65">
        <v>80</v>
      </c>
      <c r="F46" s="43">
        <f>SUM(G46:P46)</f>
        <v>3387.989084352975</v>
      </c>
      <c r="G46" s="43">
        <f>($E$46*G38*G19)/1000</f>
        <v>0</v>
      </c>
      <c r="H46" s="43">
        <f aca="true" t="shared" si="11" ref="H46:P46">($E$46*H38*H19)/1000</f>
        <v>0</v>
      </c>
      <c r="I46" s="43">
        <f t="shared" si="11"/>
        <v>848.72</v>
      </c>
      <c r="J46" s="43">
        <f t="shared" si="11"/>
        <v>611.92712</v>
      </c>
      <c r="K46" s="43">
        <f t="shared" si="11"/>
        <v>450.203524</v>
      </c>
      <c r="L46" s="43">
        <f t="shared" si="11"/>
        <v>278.225777832</v>
      </c>
      <c r="M46" s="43">
        <f t="shared" si="11"/>
        <v>286.57255116696</v>
      </c>
      <c r="N46" s="43">
        <f t="shared" si="11"/>
        <v>295.16972770196884</v>
      </c>
      <c r="O46" s="43">
        <f t="shared" si="11"/>
        <v>304.02481953302794</v>
      </c>
      <c r="P46" s="43">
        <f t="shared" si="11"/>
        <v>313.1455641190188</v>
      </c>
    </row>
    <row r="47" spans="6:16" ht="15">
      <c r="F47" s="44" t="s">
        <v>560</v>
      </c>
      <c r="G47" s="44" t="s">
        <v>560</v>
      </c>
      <c r="H47" s="44" t="s">
        <v>560</v>
      </c>
      <c r="I47" s="44" t="s">
        <v>560</v>
      </c>
      <c r="J47" s="44" t="s">
        <v>560</v>
      </c>
      <c r="K47" s="44" t="s">
        <v>560</v>
      </c>
      <c r="L47" s="44" t="s">
        <v>560</v>
      </c>
      <c r="M47" s="44" t="s">
        <v>560</v>
      </c>
      <c r="N47" s="44" t="s">
        <v>560</v>
      </c>
      <c r="O47" s="44" t="s">
        <v>560</v>
      </c>
      <c r="P47" s="44" t="s">
        <v>560</v>
      </c>
    </row>
    <row r="48" spans="3:16" ht="15">
      <c r="C48" s="36" t="s">
        <v>683</v>
      </c>
      <c r="F48" s="43">
        <f>SUM(G48:P48)</f>
        <v>9947.228652959735</v>
      </c>
      <c r="G48" s="43">
        <f aca="true" t="shared" si="12" ref="G48:P48">SUM(G43:G46)</f>
        <v>0</v>
      </c>
      <c r="H48" s="43">
        <f t="shared" si="12"/>
        <v>0</v>
      </c>
      <c r="I48" s="43">
        <f t="shared" si="12"/>
        <v>1189.2821612500002</v>
      </c>
      <c r="J48" s="43">
        <f t="shared" si="12"/>
        <v>1153.8911918253</v>
      </c>
      <c r="K48" s="43">
        <f t="shared" si="12"/>
        <v>1163.5485316586182</v>
      </c>
      <c r="L48" s="43">
        <f t="shared" si="12"/>
        <v>1144.185194803726</v>
      </c>
      <c r="M48" s="43">
        <f t="shared" si="12"/>
        <v>1265.9640960874592</v>
      </c>
      <c r="N48" s="43">
        <f t="shared" si="12"/>
        <v>1303.9430189700831</v>
      </c>
      <c r="O48" s="43">
        <f t="shared" si="12"/>
        <v>1343.0613095391857</v>
      </c>
      <c r="P48" s="43">
        <f t="shared" si="12"/>
        <v>1383.3531488253611</v>
      </c>
    </row>
    <row r="49" spans="3:16" ht="15">
      <c r="C49" s="36" t="s">
        <v>684</v>
      </c>
      <c r="E49" s="71">
        <v>0.15</v>
      </c>
      <c r="F49" s="43">
        <f>SUM(G49:P49)</f>
        <v>-1492.08429794396</v>
      </c>
      <c r="G49" s="43">
        <f>G48*-$E49</f>
        <v>0</v>
      </c>
      <c r="H49" s="43">
        <f aca="true" t="shared" si="13" ref="H49:P49">H48*-$E49</f>
        <v>0</v>
      </c>
      <c r="I49" s="43">
        <f t="shared" si="13"/>
        <v>-178.3923241875</v>
      </c>
      <c r="J49" s="43">
        <f t="shared" si="13"/>
        <v>-173.083678773795</v>
      </c>
      <c r="K49" s="43">
        <f t="shared" si="13"/>
        <v>-174.53227974879272</v>
      </c>
      <c r="L49" s="43">
        <f t="shared" si="13"/>
        <v>-171.6277792205589</v>
      </c>
      <c r="M49" s="43">
        <f t="shared" si="13"/>
        <v>-189.8946144131189</v>
      </c>
      <c r="N49" s="43">
        <f t="shared" si="13"/>
        <v>-195.59145284551246</v>
      </c>
      <c r="O49" s="43">
        <f t="shared" si="13"/>
        <v>-201.45919643087785</v>
      </c>
      <c r="P49" s="43">
        <f t="shared" si="13"/>
        <v>-207.50297232380416</v>
      </c>
    </row>
    <row r="50" spans="6:16" ht="15">
      <c r="F50" s="44" t="s">
        <v>560</v>
      </c>
      <c r="G50" s="44" t="s">
        <v>560</v>
      </c>
      <c r="H50" s="44" t="s">
        <v>560</v>
      </c>
      <c r="I50" s="44" t="s">
        <v>560</v>
      </c>
      <c r="J50" s="44" t="s">
        <v>560</v>
      </c>
      <c r="K50" s="44" t="s">
        <v>560</v>
      </c>
      <c r="L50" s="44" t="s">
        <v>560</v>
      </c>
      <c r="M50" s="44" t="s">
        <v>560</v>
      </c>
      <c r="N50" s="44" t="s">
        <v>560</v>
      </c>
      <c r="O50" s="44" t="s">
        <v>560</v>
      </c>
      <c r="P50" s="44" t="s">
        <v>560</v>
      </c>
    </row>
    <row r="51" spans="3:16" ht="15">
      <c r="C51" s="36" t="s">
        <v>685</v>
      </c>
      <c r="F51" s="43">
        <f>SUM(G51:P51)</f>
        <v>8455.144355015773</v>
      </c>
      <c r="G51" s="72">
        <f>G48+G49</f>
        <v>0</v>
      </c>
      <c r="H51" s="72">
        <f aca="true" t="shared" si="14" ref="H51:P51">H48+H49</f>
        <v>0</v>
      </c>
      <c r="I51" s="72">
        <f t="shared" si="14"/>
        <v>1010.8898370625002</v>
      </c>
      <c r="J51" s="72">
        <f t="shared" si="14"/>
        <v>980.807513051505</v>
      </c>
      <c r="K51" s="72">
        <f t="shared" si="14"/>
        <v>989.0162519098255</v>
      </c>
      <c r="L51" s="72">
        <f t="shared" si="14"/>
        <v>972.5574155831672</v>
      </c>
      <c r="M51" s="72">
        <f t="shared" si="14"/>
        <v>1076.0694816743403</v>
      </c>
      <c r="N51" s="72">
        <f t="shared" si="14"/>
        <v>1108.3515661245706</v>
      </c>
      <c r="O51" s="72">
        <f t="shared" si="14"/>
        <v>1141.6021131083078</v>
      </c>
      <c r="P51" s="72">
        <f t="shared" si="14"/>
        <v>1175.850176501557</v>
      </c>
    </row>
  </sheetData>
  <printOptions/>
  <pageMargins left="0.75" right="0.5" top="0.75" bottom="0.55" header="0.5" footer="0.5"/>
  <pageSetup fitToHeight="1" fitToWidth="1" horizontalDpi="600" verticalDpi="600" orientation="landscape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C10:P51"/>
  <sheetViews>
    <sheetView showGridLines="0" workbookViewId="0" topLeftCell="C3">
      <selection activeCell="C14" sqref="C14"/>
    </sheetView>
  </sheetViews>
  <sheetFormatPr defaultColWidth="9.796875" defaultRowHeight="15"/>
  <cols>
    <col min="1" max="3" width="9.69921875" style="36" customWidth="1"/>
    <col min="4" max="4" width="13.69921875" style="36" customWidth="1"/>
    <col min="5" max="5" width="10.59765625" style="36" customWidth="1"/>
    <col min="6" max="16" width="11.59765625" style="36" customWidth="1"/>
    <col min="17" max="16384" width="9.69921875" style="36" customWidth="1"/>
  </cols>
  <sheetData>
    <row r="10" ht="15.75">
      <c r="C10" s="35" t="s">
        <v>705</v>
      </c>
    </row>
    <row r="11" ht="15.75">
      <c r="C11" s="35"/>
    </row>
    <row r="12" ht="15.75">
      <c r="C12" s="35" t="str">
        <f>UPPER(PROJ_NAME)&amp;" PRO FORMA CASH FLOW MODEL"</f>
        <v>SAMPLE RESORT COMPLEX PRO FORMA CASH FLOW MODEL</v>
      </c>
    </row>
    <row r="13" ht="15.75">
      <c r="C13" s="35" t="s">
        <v>115</v>
      </c>
    </row>
    <row r="14" ht="15.75">
      <c r="C14" s="35" t="s">
        <v>657</v>
      </c>
    </row>
    <row r="15" spans="3:16" ht="15.75">
      <c r="C15" s="35"/>
      <c r="P15" s="37"/>
    </row>
    <row r="16" spans="3:4" ht="15">
      <c r="C16" s="38" t="s">
        <v>544</v>
      </c>
      <c r="D16" s="39">
        <f>C!D16</f>
        <v>0.03</v>
      </c>
    </row>
    <row r="17" spans="7:16" ht="15">
      <c r="G17" s="40">
        <v>1</v>
      </c>
      <c r="H17" s="40">
        <f>G17*(1+D16)</f>
        <v>1.03</v>
      </c>
      <c r="I17" s="40">
        <f>H17*(1+D16)</f>
        <v>1.0609</v>
      </c>
      <c r="J17" s="40">
        <f>I17*(1+D16)</f>
        <v>1.092727</v>
      </c>
      <c r="K17" s="40">
        <f>J17*(1+D16)</f>
        <v>1.1255088100000001</v>
      </c>
      <c r="L17" s="40">
        <f>K17*(1+D16)</f>
        <v>1.1592740743</v>
      </c>
      <c r="M17" s="40">
        <f>L17*(1+D16)</f>
        <v>1.1940522965290001</v>
      </c>
      <c r="N17" s="40">
        <f>M17*(1+D16)</f>
        <v>1.2298738654248702</v>
      </c>
      <c r="O17" s="40">
        <f>N17*(1+D16)</f>
        <v>1.2667700813876164</v>
      </c>
      <c r="P17" s="40">
        <f>O17*(1+D16)</f>
        <v>1.304773183829245</v>
      </c>
    </row>
    <row r="18" spans="6:16" ht="15">
      <c r="F18" s="41" t="s">
        <v>545</v>
      </c>
      <c r="G18" s="41" t="s">
        <v>546</v>
      </c>
      <c r="H18" s="41" t="s">
        <v>547</v>
      </c>
      <c r="I18" s="41" t="s">
        <v>548</v>
      </c>
      <c r="J18" s="41" t="s">
        <v>549</v>
      </c>
      <c r="K18" s="41" t="s">
        <v>550</v>
      </c>
      <c r="L18" s="41" t="s">
        <v>551</v>
      </c>
      <c r="M18" s="41" t="s">
        <v>552</v>
      </c>
      <c r="N18" s="41" t="s">
        <v>553</v>
      </c>
      <c r="O18" s="41" t="s">
        <v>554</v>
      </c>
      <c r="P18" s="41" t="s">
        <v>555</v>
      </c>
    </row>
    <row r="19" spans="3:16" ht="15">
      <c r="C19" s="36" t="s">
        <v>658</v>
      </c>
      <c r="F19" s="41"/>
      <c r="G19" s="51">
        <v>1</v>
      </c>
      <c r="H19" s="51">
        <f>G19*(1+$D$16)</f>
        <v>1.03</v>
      </c>
      <c r="I19" s="51">
        <f aca="true" t="shared" si="0" ref="I19:P19">H19*(1+$D$16)</f>
        <v>1.0609</v>
      </c>
      <c r="J19" s="51">
        <f t="shared" si="0"/>
        <v>1.092727</v>
      </c>
      <c r="K19" s="51">
        <f t="shared" si="0"/>
        <v>1.1255088100000001</v>
      </c>
      <c r="L19" s="51">
        <f t="shared" si="0"/>
        <v>1.1592740743</v>
      </c>
      <c r="M19" s="51">
        <f t="shared" si="0"/>
        <v>1.1940522965290001</v>
      </c>
      <c r="N19" s="51">
        <f t="shared" si="0"/>
        <v>1.2298738654248702</v>
      </c>
      <c r="O19" s="51">
        <f t="shared" si="0"/>
        <v>1.2667700813876164</v>
      </c>
      <c r="P19" s="51">
        <f t="shared" si="0"/>
        <v>1.304773183829245</v>
      </c>
    </row>
    <row r="20" spans="6:16" ht="15"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ht="15">
      <c r="C21" s="58" t="s">
        <v>606</v>
      </c>
    </row>
    <row r="22" spans="3:16" ht="15">
      <c r="C22" s="36" t="s">
        <v>607</v>
      </c>
      <c r="F22" s="43">
        <f aca="true" t="shared" si="1" ref="F22:F29">SUM(G22:P22)</f>
        <v>13284.477172270757</v>
      </c>
      <c r="G22" s="43">
        <f>(H!G24*H!G31*12*G17)/1000</f>
        <v>0</v>
      </c>
      <c r="H22" s="43">
        <f>(H!H24*H!H31*12*H17)/1000</f>
        <v>0</v>
      </c>
      <c r="I22" s="43">
        <f>(H!I24*H!I31*12*I17)/1000</f>
        <v>445.578</v>
      </c>
      <c r="J22" s="43">
        <f>(H!J24*H!J31*12*J17)/1000</f>
        <v>917.8906800000001</v>
      </c>
      <c r="K22" s="43">
        <f>(H!K24*H!K31*12*K17)/1000</f>
        <v>1299.96267555</v>
      </c>
      <c r="L22" s="43">
        <f>(H!L24*H!L31*12*L17)/1000</f>
        <v>1704.132889221</v>
      </c>
      <c r="M22" s="43">
        <f>(H!M24*H!M31*12*M17)/1000</f>
        <v>2131.3833493042653</v>
      </c>
      <c r="N22" s="43">
        <f>(H!N24*H!N31*12*N17)/1000</f>
        <v>2195.324849783393</v>
      </c>
      <c r="O22" s="43">
        <f>(H!O24*H!O31*12*O17)/1000</f>
        <v>2261.1845952768954</v>
      </c>
      <c r="P22" s="43">
        <f>(H!P24*H!P31*12*P17)/1000</f>
        <v>2329.0201331352023</v>
      </c>
    </row>
    <row r="23" spans="3:16" ht="15">
      <c r="C23" s="36" t="s">
        <v>608</v>
      </c>
      <c r="F23" s="43">
        <f t="shared" si="1"/>
        <v>8455.144355015773</v>
      </c>
      <c r="G23" s="43">
        <f>H!G51</f>
        <v>0</v>
      </c>
      <c r="H23" s="43">
        <f>H!H51</f>
        <v>0</v>
      </c>
      <c r="I23" s="43">
        <f>H!I51</f>
        <v>1010.8898370625002</v>
      </c>
      <c r="J23" s="43">
        <f>H!J51</f>
        <v>980.807513051505</v>
      </c>
      <c r="K23" s="43">
        <f>H!K51</f>
        <v>989.0162519098255</v>
      </c>
      <c r="L23" s="43">
        <f>H!L51</f>
        <v>972.5574155831672</v>
      </c>
      <c r="M23" s="43">
        <f>H!M51</f>
        <v>1076.0694816743403</v>
      </c>
      <c r="N23" s="43">
        <f>H!N51</f>
        <v>1108.3515661245706</v>
      </c>
      <c r="O23" s="43">
        <f>H!O51</f>
        <v>1141.6021131083078</v>
      </c>
      <c r="P23" s="43">
        <f>H!P51</f>
        <v>1175.850176501557</v>
      </c>
    </row>
    <row r="24" spans="3:16" ht="15">
      <c r="C24" s="36" t="s">
        <v>670</v>
      </c>
      <c r="E24" s="66">
        <v>8</v>
      </c>
      <c r="F24" s="43">
        <f t="shared" si="1"/>
        <v>1265.1883021210244</v>
      </c>
      <c r="G24" s="43">
        <f>(+H!G34*$E24*G19)/1000</f>
        <v>0</v>
      </c>
      <c r="H24" s="43">
        <f>(+H!H34*$E24*H19)/1000</f>
        <v>0</v>
      </c>
      <c r="I24" s="43">
        <f>(+H!I34*$E24*I19)/1000</f>
        <v>42.436</v>
      </c>
      <c r="J24" s="43">
        <f>(+H!J34*$E24*J19)/1000</f>
        <v>87.41816</v>
      </c>
      <c r="K24" s="43">
        <f>(+H!K34*$E24*K19)/1000</f>
        <v>123.80596910000001</v>
      </c>
      <c r="L24" s="43">
        <f>(+H!L34*$E24*L19)/1000</f>
        <v>162.298370402</v>
      </c>
      <c r="M24" s="43">
        <f>(+H!M34*$E24*M19)/1000</f>
        <v>202.98889040993004</v>
      </c>
      <c r="N24" s="43">
        <f>(+H!N34*$E24*N19)/1000</f>
        <v>209.07855712222795</v>
      </c>
      <c r="O24" s="43">
        <f>(+H!O34*$E24*O19)/1000</f>
        <v>215.35091383589477</v>
      </c>
      <c r="P24" s="43">
        <f>(+H!P34*$E24*P19)/1000</f>
        <v>221.81144125097163</v>
      </c>
    </row>
    <row r="25" spans="3:16" ht="15">
      <c r="C25" s="36" t="s">
        <v>666</v>
      </c>
      <c r="E25" s="66">
        <v>10</v>
      </c>
      <c r="F25" s="43">
        <f t="shared" si="1"/>
        <v>3150.906787218238</v>
      </c>
      <c r="G25" s="43">
        <f>($E25*H!G40*G19)/1000</f>
        <v>0</v>
      </c>
      <c r="H25" s="43">
        <f>($E25*H!H40*H19)/1000</f>
        <v>0</v>
      </c>
      <c r="I25" s="43">
        <f>($E25*H!I40*I19)/1000</f>
        <v>217.66352687499997</v>
      </c>
      <c r="J25" s="43">
        <f>($E25*H!J40*J19)/1000</f>
        <v>279.73335863755</v>
      </c>
      <c r="K25" s="43">
        <f>($E25*H!K40*K19)/1000</f>
        <v>335.082318530603</v>
      </c>
      <c r="L25" s="43">
        <f>($E25*H!L40*L19)/1000</f>
        <v>388.7401868268711</v>
      </c>
      <c r="M25" s="43">
        <f>($E25*H!M40*M19)/1000</f>
        <v>461.2474764954461</v>
      </c>
      <c r="N25" s="43">
        <f>($E25*H!N40*N19)/1000</f>
        <v>475.0849007903095</v>
      </c>
      <c r="O25" s="43">
        <f>($E25*H!O40*O19)/1000</f>
        <v>489.3374478140189</v>
      </c>
      <c r="P25" s="43">
        <f>($E25*H!P40*P19)/1000</f>
        <v>504.0175712484394</v>
      </c>
    </row>
    <row r="26" spans="3:16" ht="15">
      <c r="C26" s="36" t="s">
        <v>686</v>
      </c>
      <c r="E26" s="66"/>
      <c r="F26" s="43">
        <f t="shared" si="1"/>
        <v>3897.7347135853656</v>
      </c>
      <c r="G26" s="43">
        <v>0</v>
      </c>
      <c r="H26" s="43">
        <v>0</v>
      </c>
      <c r="I26" s="43">
        <v>200</v>
      </c>
      <c r="J26" s="43">
        <v>300</v>
      </c>
      <c r="K26" s="43">
        <v>400</v>
      </c>
      <c r="L26" s="43">
        <v>500</v>
      </c>
      <c r="M26" s="43">
        <f>500*M19</f>
        <v>597.0261482645001</v>
      </c>
      <c r="N26" s="43">
        <f>500*N19</f>
        <v>614.9369327124351</v>
      </c>
      <c r="O26" s="43">
        <f>500*O19</f>
        <v>633.3850406938082</v>
      </c>
      <c r="P26" s="43">
        <f>500*P19</f>
        <v>652.3865919146225</v>
      </c>
    </row>
    <row r="27" spans="3:16" ht="15">
      <c r="C27" s="36" t="s">
        <v>667</v>
      </c>
      <c r="E27" s="66">
        <v>8</v>
      </c>
      <c r="F27" s="43">
        <f t="shared" si="1"/>
        <v>2520.7254297745903</v>
      </c>
      <c r="G27" s="43">
        <f>($E27*H!G40*G19)/1000</f>
        <v>0</v>
      </c>
      <c r="H27" s="43">
        <f>($E27*H!H40*H19)/1000</f>
        <v>0</v>
      </c>
      <c r="I27" s="43">
        <f>($E27*H!I40*I19)/1000</f>
        <v>174.1308215</v>
      </c>
      <c r="J27" s="43">
        <f>($E27*H!J40*J19)/1000</f>
        <v>223.78668691003998</v>
      </c>
      <c r="K27" s="43">
        <f>($E27*H!K40*K19)/1000</f>
        <v>268.06585482448247</v>
      </c>
      <c r="L27" s="43">
        <f>($E27*H!L40*L19)/1000</f>
        <v>310.9921494614968</v>
      </c>
      <c r="M27" s="43">
        <f>($E27*H!M40*M19)/1000</f>
        <v>368.99798119635693</v>
      </c>
      <c r="N27" s="43">
        <f>($E27*H!N40*N19)/1000</f>
        <v>380.06792063224765</v>
      </c>
      <c r="O27" s="43">
        <f>($E27*H!O40*O19)/1000</f>
        <v>391.46995825121513</v>
      </c>
      <c r="P27" s="43">
        <f>($E27*H!P40*P19)/1000</f>
        <v>403.2140569987515</v>
      </c>
    </row>
    <row r="28" spans="3:16" ht="15">
      <c r="C28" s="36" t="s">
        <v>668</v>
      </c>
      <c r="E28" s="66">
        <v>4</v>
      </c>
      <c r="F28" s="43">
        <f t="shared" si="1"/>
        <v>1260.3627148872952</v>
      </c>
      <c r="G28" s="43">
        <f>($E28*H!G40*G19)/1000</f>
        <v>0</v>
      </c>
      <c r="H28" s="43">
        <f>($E28*H!H40*H19)/1000</f>
        <v>0</v>
      </c>
      <c r="I28" s="43">
        <f>($E28*H!I40*I19)/1000</f>
        <v>87.06541075</v>
      </c>
      <c r="J28" s="43">
        <f>($E28*H!J40*J19)/1000</f>
        <v>111.89334345501999</v>
      </c>
      <c r="K28" s="43">
        <f>($E28*H!K40*K19)/1000</f>
        <v>134.03292741224124</v>
      </c>
      <c r="L28" s="43">
        <f>($E28*H!L40*L19)/1000</f>
        <v>155.4960747307484</v>
      </c>
      <c r="M28" s="43">
        <f>($E28*H!M40*M19)/1000</f>
        <v>184.49899059817847</v>
      </c>
      <c r="N28" s="43">
        <f>($E28*H!N40*N19)/1000</f>
        <v>190.03396031612382</v>
      </c>
      <c r="O28" s="43">
        <f>($E28*H!O40*O19)/1000</f>
        <v>195.73497912560757</v>
      </c>
      <c r="P28" s="43">
        <f>($E28*H!P40*P19)/1000</f>
        <v>201.60702849937576</v>
      </c>
    </row>
    <row r="29" spans="3:16" ht="15">
      <c r="C29" s="36" t="s">
        <v>669</v>
      </c>
      <c r="E29" s="66">
        <v>1</v>
      </c>
      <c r="F29" s="43">
        <f t="shared" si="1"/>
        <v>315.0906787218238</v>
      </c>
      <c r="G29" s="43">
        <f>($E29*H!G40*G19)/1000</f>
        <v>0</v>
      </c>
      <c r="H29" s="43">
        <f>($E29*H!H40*H19)/1000</f>
        <v>0</v>
      </c>
      <c r="I29" s="43">
        <f>($E29*H!I40*I19)/1000</f>
        <v>21.7663526875</v>
      </c>
      <c r="J29" s="43">
        <f>($E29*H!J40*J19)/1000</f>
        <v>27.973335863754997</v>
      </c>
      <c r="K29" s="43">
        <f>($E29*H!K40*K19)/1000</f>
        <v>33.50823185306031</v>
      </c>
      <c r="L29" s="43">
        <f>($E29*H!L40*L19)/1000</f>
        <v>38.8740186826871</v>
      </c>
      <c r="M29" s="43">
        <f>($E29*H!M40*M19)/1000</f>
        <v>46.12474764954462</v>
      </c>
      <c r="N29" s="43">
        <f>($E29*H!N40*N19)/1000</f>
        <v>47.508490079030956</v>
      </c>
      <c r="O29" s="43">
        <f>($E29*H!O40*O19)/1000</f>
        <v>48.93374478140189</v>
      </c>
      <c r="P29" s="43">
        <f>($E29*H!P40*P19)/1000</f>
        <v>50.40175712484394</v>
      </c>
    </row>
    <row r="30" spans="6:16" ht="15">
      <c r="F30" s="44" t="s">
        <v>560</v>
      </c>
      <c r="G30" s="44" t="s">
        <v>560</v>
      </c>
      <c r="H30" s="44" t="s">
        <v>560</v>
      </c>
      <c r="I30" s="44" t="s">
        <v>560</v>
      </c>
      <c r="J30" s="44" t="s">
        <v>560</v>
      </c>
      <c r="K30" s="44" t="s">
        <v>560</v>
      </c>
      <c r="L30" s="44" t="s">
        <v>560</v>
      </c>
      <c r="M30" s="44" t="s">
        <v>560</v>
      </c>
      <c r="N30" s="44" t="s">
        <v>560</v>
      </c>
      <c r="O30" s="44" t="s">
        <v>560</v>
      </c>
      <c r="P30" s="44" t="s">
        <v>560</v>
      </c>
    </row>
    <row r="31" spans="3:16" ht="15">
      <c r="C31" s="36" t="s">
        <v>610</v>
      </c>
      <c r="F31" s="43">
        <f>SUM(G31:P31)</f>
        <v>34149.630153594866</v>
      </c>
      <c r="G31" s="43">
        <f aca="true" t="shared" si="2" ref="G31:P31">SUM(G22:G29)</f>
        <v>0</v>
      </c>
      <c r="H31" s="43">
        <f t="shared" si="2"/>
        <v>0</v>
      </c>
      <c r="I31" s="43">
        <f t="shared" si="2"/>
        <v>2199.5299488749997</v>
      </c>
      <c r="J31" s="43">
        <f t="shared" si="2"/>
        <v>2929.5030779178696</v>
      </c>
      <c r="K31" s="43">
        <f t="shared" si="2"/>
        <v>3583.4742291802127</v>
      </c>
      <c r="L31" s="43">
        <f t="shared" si="2"/>
        <v>4233.0911049079705</v>
      </c>
      <c r="M31" s="43">
        <f t="shared" si="2"/>
        <v>5068.337065592561</v>
      </c>
      <c r="N31" s="43">
        <f t="shared" si="2"/>
        <v>5220.387177560338</v>
      </c>
      <c r="O31" s="43">
        <f t="shared" si="2"/>
        <v>5376.99879288715</v>
      </c>
      <c r="P31" s="43">
        <f t="shared" si="2"/>
        <v>5538.308756673764</v>
      </c>
    </row>
    <row r="33" ht="15">
      <c r="C33" s="58" t="s">
        <v>611</v>
      </c>
    </row>
    <row r="34" spans="3:16" ht="15">
      <c r="C34" s="36" t="s">
        <v>687</v>
      </c>
      <c r="E34" s="56">
        <v>0.33</v>
      </c>
      <c r="F34" s="43">
        <f>SUM(G34:P34)</f>
        <v>2326.0516952651897</v>
      </c>
      <c r="G34" s="43">
        <f>(G25+G26)*$E34</f>
        <v>0</v>
      </c>
      <c r="H34" s="43">
        <f aca="true" t="shared" si="3" ref="H34:P34">(H25+H26)*$E34</f>
        <v>0</v>
      </c>
      <c r="I34" s="43">
        <f t="shared" si="3"/>
        <v>137.82896386875</v>
      </c>
      <c r="J34" s="43">
        <f t="shared" si="3"/>
        <v>191.31200835039152</v>
      </c>
      <c r="K34" s="43">
        <f t="shared" si="3"/>
        <v>242.57716511509904</v>
      </c>
      <c r="L34" s="43">
        <f t="shared" si="3"/>
        <v>293.2842616528675</v>
      </c>
      <c r="M34" s="43">
        <f t="shared" si="3"/>
        <v>349.23029617078225</v>
      </c>
      <c r="N34" s="43">
        <f t="shared" si="3"/>
        <v>359.7072050559057</v>
      </c>
      <c r="O34" s="43">
        <f t="shared" si="3"/>
        <v>370.49842120758296</v>
      </c>
      <c r="P34" s="43">
        <f t="shared" si="3"/>
        <v>381.61337384381045</v>
      </c>
    </row>
    <row r="35" spans="3:16" ht="15">
      <c r="C35" s="36" t="s">
        <v>612</v>
      </c>
      <c r="E35" s="56">
        <v>0.7</v>
      </c>
      <c r="F35" s="43">
        <f>SUM(G35:P35)</f>
        <v>1764.5078008422133</v>
      </c>
      <c r="G35" s="43">
        <f aca="true" t="shared" si="4" ref="G35:P35">G27*$E35</f>
        <v>0</v>
      </c>
      <c r="H35" s="43">
        <f t="shared" si="4"/>
        <v>0</v>
      </c>
      <c r="I35" s="43">
        <f t="shared" si="4"/>
        <v>121.89157504999999</v>
      </c>
      <c r="J35" s="43">
        <f t="shared" si="4"/>
        <v>156.65068083702798</v>
      </c>
      <c r="K35" s="43">
        <f t="shared" si="4"/>
        <v>187.64609837713772</v>
      </c>
      <c r="L35" s="43">
        <f t="shared" si="4"/>
        <v>217.69450462304775</v>
      </c>
      <c r="M35" s="43">
        <f t="shared" si="4"/>
        <v>258.2985868374498</v>
      </c>
      <c r="N35" s="43">
        <f t="shared" si="4"/>
        <v>266.0475444425733</v>
      </c>
      <c r="O35" s="43">
        <f t="shared" si="4"/>
        <v>274.02897077585055</v>
      </c>
      <c r="P35" s="43">
        <f t="shared" si="4"/>
        <v>282.249839899126</v>
      </c>
    </row>
    <row r="36" spans="3:16" ht="15">
      <c r="C36" s="36" t="s">
        <v>613</v>
      </c>
      <c r="E36" s="56">
        <v>0.4</v>
      </c>
      <c r="F36" s="43">
        <f>SUM(G36:P36)</f>
        <v>126.03627148872954</v>
      </c>
      <c r="G36" s="43">
        <f aca="true" t="shared" si="5" ref="G36:P36">G29*$E36</f>
        <v>0</v>
      </c>
      <c r="H36" s="43">
        <f t="shared" si="5"/>
        <v>0</v>
      </c>
      <c r="I36" s="43">
        <f t="shared" si="5"/>
        <v>8.706541075</v>
      </c>
      <c r="J36" s="43">
        <f t="shared" si="5"/>
        <v>11.189334345502</v>
      </c>
      <c r="K36" s="43">
        <f t="shared" si="5"/>
        <v>13.403292741224124</v>
      </c>
      <c r="L36" s="43">
        <f t="shared" si="5"/>
        <v>15.549607473074841</v>
      </c>
      <c r="M36" s="43">
        <f t="shared" si="5"/>
        <v>18.44989905981785</v>
      </c>
      <c r="N36" s="43">
        <f t="shared" si="5"/>
        <v>19.003396031612382</v>
      </c>
      <c r="O36" s="43">
        <f t="shared" si="5"/>
        <v>19.573497912560757</v>
      </c>
      <c r="P36" s="43">
        <f t="shared" si="5"/>
        <v>20.16070284993758</v>
      </c>
    </row>
    <row r="37" spans="6:16" ht="15">
      <c r="F37" s="44" t="s">
        <v>560</v>
      </c>
      <c r="G37" s="44" t="s">
        <v>560</v>
      </c>
      <c r="H37" s="44" t="s">
        <v>560</v>
      </c>
      <c r="I37" s="44" t="s">
        <v>560</v>
      </c>
      <c r="J37" s="44" t="s">
        <v>560</v>
      </c>
      <c r="K37" s="44" t="s">
        <v>560</v>
      </c>
      <c r="L37" s="44" t="s">
        <v>560</v>
      </c>
      <c r="M37" s="44" t="s">
        <v>560</v>
      </c>
      <c r="N37" s="44" t="s">
        <v>560</v>
      </c>
      <c r="O37" s="44" t="s">
        <v>560</v>
      </c>
      <c r="P37" s="44" t="s">
        <v>560</v>
      </c>
    </row>
    <row r="38" spans="3:16" ht="15">
      <c r="C38" s="36" t="s">
        <v>614</v>
      </c>
      <c r="F38" s="43">
        <f>SUM(G38:P38)</f>
        <v>29933.034385998737</v>
      </c>
      <c r="G38" s="43">
        <f aca="true" t="shared" si="6" ref="G38:P38">G31-SUM(G34:G36)</f>
        <v>0</v>
      </c>
      <c r="H38" s="43">
        <f t="shared" si="6"/>
        <v>0</v>
      </c>
      <c r="I38" s="43">
        <f t="shared" si="6"/>
        <v>1931.1028688812498</v>
      </c>
      <c r="J38" s="43">
        <f t="shared" si="6"/>
        <v>2570.351054384948</v>
      </c>
      <c r="K38" s="43">
        <f t="shared" si="6"/>
        <v>3139.847672946752</v>
      </c>
      <c r="L38" s="43">
        <f t="shared" si="6"/>
        <v>3706.5627311589806</v>
      </c>
      <c r="M38" s="43">
        <f t="shared" si="6"/>
        <v>4442.358283524511</v>
      </c>
      <c r="N38" s="43">
        <f t="shared" si="6"/>
        <v>4575.629032030247</v>
      </c>
      <c r="O38" s="43">
        <f t="shared" si="6"/>
        <v>4712.897902991155</v>
      </c>
      <c r="P38" s="43">
        <f t="shared" si="6"/>
        <v>4854.28484008089</v>
      </c>
    </row>
    <row r="40" ht="15">
      <c r="C40" s="58" t="s">
        <v>615</v>
      </c>
    </row>
    <row r="41" spans="3:16" ht="15">
      <c r="C41" s="36" t="s">
        <v>616</v>
      </c>
      <c r="E41" s="56"/>
      <c r="F41" s="43">
        <f aca="true" t="shared" si="7" ref="F41:F47">SUM(G41:P41)</f>
        <v>10377.267242617805</v>
      </c>
      <c r="G41" s="43">
        <f>G25*$E$41</f>
        <v>0</v>
      </c>
      <c r="H41" s="43">
        <f>H25*$E$41</f>
        <v>0</v>
      </c>
      <c r="I41" s="43">
        <f>1100*I19</f>
        <v>1166.99</v>
      </c>
      <c r="J41" s="43">
        <f aca="true" t="shared" si="8" ref="J41:P41">1100*J19</f>
        <v>1201.9997</v>
      </c>
      <c r="K41" s="43">
        <f t="shared" si="8"/>
        <v>1238.0596910000002</v>
      </c>
      <c r="L41" s="43">
        <f t="shared" si="8"/>
        <v>1275.20148173</v>
      </c>
      <c r="M41" s="43">
        <f t="shared" si="8"/>
        <v>1313.4575261819002</v>
      </c>
      <c r="N41" s="43">
        <f t="shared" si="8"/>
        <v>1352.8612519673572</v>
      </c>
      <c r="O41" s="43">
        <f t="shared" si="8"/>
        <v>1393.447089526378</v>
      </c>
      <c r="P41" s="43">
        <f t="shared" si="8"/>
        <v>1435.2505022121693</v>
      </c>
    </row>
    <row r="42" spans="3:16" ht="15">
      <c r="C42" s="36" t="s">
        <v>617</v>
      </c>
      <c r="E42" s="56"/>
      <c r="F42" s="43">
        <f t="shared" si="7"/>
        <v>3773.551724588293</v>
      </c>
      <c r="G42" s="43">
        <f>G27*$E$42</f>
        <v>0</v>
      </c>
      <c r="H42" s="43">
        <f>H27*$E$42</f>
        <v>0</v>
      </c>
      <c r="I42" s="43">
        <f>400*I19</f>
        <v>424.35999999999996</v>
      </c>
      <c r="J42" s="43">
        <f aca="true" t="shared" si="9" ref="J42:P42">400*J19</f>
        <v>437.0908</v>
      </c>
      <c r="K42" s="43">
        <f t="shared" si="9"/>
        <v>450.2035240000001</v>
      </c>
      <c r="L42" s="43">
        <f t="shared" si="9"/>
        <v>463.70962972</v>
      </c>
      <c r="M42" s="43">
        <f t="shared" si="9"/>
        <v>477.6209186116001</v>
      </c>
      <c r="N42" s="43">
        <f t="shared" si="9"/>
        <v>491.94954616994806</v>
      </c>
      <c r="O42" s="43">
        <f t="shared" si="9"/>
        <v>506.70803255504654</v>
      </c>
      <c r="P42" s="43">
        <f t="shared" si="9"/>
        <v>521.909273531698</v>
      </c>
    </row>
    <row r="43" spans="3:16" ht="15">
      <c r="C43" s="36" t="s">
        <v>688</v>
      </c>
      <c r="F43" s="43">
        <f t="shared" si="7"/>
        <v>3524.3207504018023</v>
      </c>
      <c r="G43" s="43">
        <v>0</v>
      </c>
      <c r="H43" s="43">
        <v>0</v>
      </c>
      <c r="I43" s="43">
        <f>0.5*(I25+I26)</f>
        <v>208.8317634375</v>
      </c>
      <c r="J43" s="43">
        <f aca="true" t="shared" si="10" ref="J43:P43">0.5*(J25+J26)</f>
        <v>289.866679318775</v>
      </c>
      <c r="K43" s="43">
        <f t="shared" si="10"/>
        <v>367.54115926530153</v>
      </c>
      <c r="L43" s="43">
        <f t="shared" si="10"/>
        <v>444.37009341343554</v>
      </c>
      <c r="M43" s="43">
        <f t="shared" si="10"/>
        <v>529.1368123799731</v>
      </c>
      <c r="N43" s="43">
        <f t="shared" si="10"/>
        <v>545.0109167513723</v>
      </c>
      <c r="O43" s="43">
        <f t="shared" si="10"/>
        <v>561.3612442539136</v>
      </c>
      <c r="P43" s="43">
        <f t="shared" si="10"/>
        <v>578.2020815815309</v>
      </c>
    </row>
    <row r="44" spans="3:16" ht="15">
      <c r="C44" s="36" t="s">
        <v>618</v>
      </c>
      <c r="F44" s="43">
        <f t="shared" si="7"/>
        <v>943.3879311470732</v>
      </c>
      <c r="G44" s="43">
        <v>0</v>
      </c>
      <c r="H44" s="43">
        <v>0</v>
      </c>
      <c r="I44" s="43">
        <f>100*I19</f>
        <v>106.08999999999999</v>
      </c>
      <c r="J44" s="43">
        <f aca="true" t="shared" si="11" ref="J44:P44">100*J19</f>
        <v>109.2727</v>
      </c>
      <c r="K44" s="43">
        <f t="shared" si="11"/>
        <v>112.55088100000002</v>
      </c>
      <c r="L44" s="43">
        <f t="shared" si="11"/>
        <v>115.92740743</v>
      </c>
      <c r="M44" s="43">
        <f t="shared" si="11"/>
        <v>119.40522965290002</v>
      </c>
      <c r="N44" s="43">
        <f t="shared" si="11"/>
        <v>122.98738654248702</v>
      </c>
      <c r="O44" s="43">
        <f t="shared" si="11"/>
        <v>126.67700813876164</v>
      </c>
      <c r="P44" s="43">
        <f t="shared" si="11"/>
        <v>130.4773183829245</v>
      </c>
    </row>
    <row r="45" spans="3:16" ht="15">
      <c r="C45" s="36" t="s">
        <v>681</v>
      </c>
      <c r="F45" s="43">
        <f t="shared" si="7"/>
        <v>1415.0818967206096</v>
      </c>
      <c r="G45" s="43">
        <v>0</v>
      </c>
      <c r="H45" s="43">
        <v>0</v>
      </c>
      <c r="I45" s="43">
        <f>150*I19</f>
        <v>159.135</v>
      </c>
      <c r="J45" s="43">
        <f aca="true" t="shared" si="12" ref="J45:P45">150*J19</f>
        <v>163.90905</v>
      </c>
      <c r="K45" s="43">
        <f t="shared" si="12"/>
        <v>168.82632150000003</v>
      </c>
      <c r="L45" s="43">
        <f t="shared" si="12"/>
        <v>173.891111145</v>
      </c>
      <c r="M45" s="43">
        <f t="shared" si="12"/>
        <v>179.10784447935</v>
      </c>
      <c r="N45" s="43">
        <f t="shared" si="12"/>
        <v>184.48107981373053</v>
      </c>
      <c r="O45" s="43">
        <f t="shared" si="12"/>
        <v>190.01551220814247</v>
      </c>
      <c r="P45" s="43">
        <f t="shared" si="12"/>
        <v>195.71597757438673</v>
      </c>
    </row>
    <row r="46" spans="3:16" ht="15">
      <c r="C46" s="36" t="s">
        <v>619</v>
      </c>
      <c r="F46" s="43">
        <f t="shared" si="7"/>
        <v>5660.3275868824385</v>
      </c>
      <c r="G46" s="43">
        <v>0</v>
      </c>
      <c r="H46" s="43">
        <v>0</v>
      </c>
      <c r="I46" s="43">
        <f>600*I19</f>
        <v>636.54</v>
      </c>
      <c r="J46" s="43">
        <f aca="true" t="shared" si="13" ref="J46:P46">600*J19</f>
        <v>655.6362</v>
      </c>
      <c r="K46" s="43">
        <f t="shared" si="13"/>
        <v>675.3052860000001</v>
      </c>
      <c r="L46" s="43">
        <f t="shared" si="13"/>
        <v>695.56444458</v>
      </c>
      <c r="M46" s="43">
        <f t="shared" si="13"/>
        <v>716.4313779174</v>
      </c>
      <c r="N46" s="43">
        <f t="shared" si="13"/>
        <v>737.9243192549221</v>
      </c>
      <c r="O46" s="43">
        <f t="shared" si="13"/>
        <v>760.0620488325699</v>
      </c>
      <c r="P46" s="43">
        <f t="shared" si="13"/>
        <v>782.8639102975469</v>
      </c>
    </row>
    <row r="47" spans="3:16" ht="15">
      <c r="C47" s="36" t="s">
        <v>620</v>
      </c>
      <c r="E47" s="56">
        <v>0.03</v>
      </c>
      <c r="F47" s="43">
        <f t="shared" si="7"/>
        <v>870.6179138040599</v>
      </c>
      <c r="G47" s="43">
        <v>0</v>
      </c>
      <c r="H47" s="43">
        <v>0</v>
      </c>
      <c r="I47" s="43">
        <v>0</v>
      </c>
      <c r="J47" s="43">
        <v>0</v>
      </c>
      <c r="K47" s="43">
        <f aca="true" t="shared" si="14" ref="K47:P47">$E$47*K31</f>
        <v>107.50422687540637</v>
      </c>
      <c r="L47" s="43">
        <f t="shared" si="14"/>
        <v>126.99273314723911</v>
      </c>
      <c r="M47" s="43">
        <f t="shared" si="14"/>
        <v>152.05011196777681</v>
      </c>
      <c r="N47" s="43">
        <f t="shared" si="14"/>
        <v>156.61161532681015</v>
      </c>
      <c r="O47" s="43">
        <f t="shared" si="14"/>
        <v>161.30996378661447</v>
      </c>
      <c r="P47" s="43">
        <f t="shared" si="14"/>
        <v>166.14926270021292</v>
      </c>
    </row>
    <row r="48" spans="6:16" ht="15">
      <c r="F48" s="44" t="s">
        <v>560</v>
      </c>
      <c r="G48" s="44" t="s">
        <v>560</v>
      </c>
      <c r="H48" s="44" t="s">
        <v>560</v>
      </c>
      <c r="I48" s="44" t="s">
        <v>560</v>
      </c>
      <c r="J48" s="44" t="s">
        <v>560</v>
      </c>
      <c r="K48" s="44" t="s">
        <v>560</v>
      </c>
      <c r="L48" s="44" t="s">
        <v>560</v>
      </c>
      <c r="M48" s="44" t="s">
        <v>560</v>
      </c>
      <c r="N48" s="44" t="s">
        <v>560</v>
      </c>
      <c r="O48" s="44" t="s">
        <v>560</v>
      </c>
      <c r="P48" s="44" t="s">
        <v>560</v>
      </c>
    </row>
    <row r="49" spans="3:16" ht="15">
      <c r="C49" s="36" t="s">
        <v>621</v>
      </c>
      <c r="F49" s="43">
        <f>SUM(G49:P49)</f>
        <v>26564.555046162084</v>
      </c>
      <c r="G49" s="43">
        <f aca="true" t="shared" si="15" ref="G49:P49">SUM(G41:G47)</f>
        <v>0</v>
      </c>
      <c r="H49" s="43">
        <f t="shared" si="15"/>
        <v>0</v>
      </c>
      <c r="I49" s="43">
        <f t="shared" si="15"/>
        <v>2701.9467634374996</v>
      </c>
      <c r="J49" s="43">
        <f t="shared" si="15"/>
        <v>2857.7751293187753</v>
      </c>
      <c r="K49" s="43">
        <f t="shared" si="15"/>
        <v>3119.9910896407087</v>
      </c>
      <c r="L49" s="43">
        <f t="shared" si="15"/>
        <v>3295.6569011656748</v>
      </c>
      <c r="M49" s="43">
        <f t="shared" si="15"/>
        <v>3487.2098211909</v>
      </c>
      <c r="N49" s="43">
        <f t="shared" si="15"/>
        <v>3591.8261158266273</v>
      </c>
      <c r="O49" s="43">
        <f t="shared" si="15"/>
        <v>3699.580899301426</v>
      </c>
      <c r="P49" s="43">
        <f t="shared" si="15"/>
        <v>3810.568326280469</v>
      </c>
    </row>
    <row r="50" spans="6:16" ht="15">
      <c r="F50" s="44" t="s">
        <v>560</v>
      </c>
      <c r="G50" s="44" t="s">
        <v>560</v>
      </c>
      <c r="H50" s="44" t="s">
        <v>560</v>
      </c>
      <c r="I50" s="44" t="s">
        <v>560</v>
      </c>
      <c r="J50" s="44" t="s">
        <v>560</v>
      </c>
      <c r="K50" s="44" t="s">
        <v>560</v>
      </c>
      <c r="L50" s="44" t="s">
        <v>560</v>
      </c>
      <c r="M50" s="44" t="s">
        <v>560</v>
      </c>
      <c r="N50" s="44" t="s">
        <v>560</v>
      </c>
      <c r="O50" s="44" t="s">
        <v>560</v>
      </c>
      <c r="P50" s="44" t="s">
        <v>560</v>
      </c>
    </row>
    <row r="51" spans="3:16" ht="15">
      <c r="C51" s="36" t="s">
        <v>622</v>
      </c>
      <c r="F51" s="43">
        <f>SUM(G51:P51)</f>
        <v>3368.479339836652</v>
      </c>
      <c r="G51" s="43">
        <f aca="true" t="shared" si="16" ref="G51:P51">G38-G49</f>
        <v>0</v>
      </c>
      <c r="H51" s="43">
        <f t="shared" si="16"/>
        <v>0</v>
      </c>
      <c r="I51" s="43">
        <f t="shared" si="16"/>
        <v>-770.8438945562498</v>
      </c>
      <c r="J51" s="43">
        <f t="shared" si="16"/>
        <v>-287.42407493382734</v>
      </c>
      <c r="K51" s="43">
        <f t="shared" si="16"/>
        <v>19.856583306043376</v>
      </c>
      <c r="L51" s="43">
        <f t="shared" si="16"/>
        <v>410.9058299933058</v>
      </c>
      <c r="M51" s="43">
        <f t="shared" si="16"/>
        <v>955.1484623336105</v>
      </c>
      <c r="N51" s="43">
        <f t="shared" si="16"/>
        <v>983.8029162036196</v>
      </c>
      <c r="O51" s="43">
        <f t="shared" si="16"/>
        <v>1013.3170036897291</v>
      </c>
      <c r="P51" s="43">
        <f t="shared" si="16"/>
        <v>1043.7165138004207</v>
      </c>
    </row>
  </sheetData>
  <printOptions/>
  <pageMargins left="0.75" right="0.5" top="0.75" bottom="0.55" header="0.5" footer="0.5"/>
  <pageSetup fitToHeight="1" fitToWidth="1" horizontalDpi="600" verticalDpi="600" orientation="landscape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ASchmitz</cp:lastModifiedBy>
  <cp:lastPrinted>2008-02-20T23:23:31Z</cp:lastPrinted>
  <dcterms:created xsi:type="dcterms:W3CDTF">2008-02-15T20:05:17Z</dcterms:created>
  <dcterms:modified xsi:type="dcterms:W3CDTF">2008-10-07T18:55:37Z</dcterms:modified>
  <cp:category/>
  <cp:version/>
  <cp:contentType/>
  <cp:contentStatus/>
</cp:coreProperties>
</file>