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School\Spring 2017\ULI Hines\Proposal\1-22\"/>
    </mc:Choice>
  </mc:AlternateContent>
  <bookViews>
    <workbookView xWindow="0" yWindow="0" windowWidth="23040" windowHeight="9090" tabRatio="779" firstSheet="1" activeTab="2"/>
  </bookViews>
  <sheets>
    <sheet name="ULI Hines Summary Board" sheetId="48" state="hidden" r:id="rId1"/>
    <sheet name="Final ULI" sheetId="49" r:id="rId2"/>
    <sheet name="Summary Board" sheetId="28" r:id="rId3"/>
    <sheet name="Budget" sheetId="38" r:id="rId4"/>
    <sheet name="Financing" sheetId="37" r:id="rId5"/>
    <sheet name="1.Infrastructure Costs" sheetId="15" r:id="rId6"/>
    <sheet name="2.Market-Rate Rental Housing" sheetId="14" r:id="rId7"/>
    <sheet name="3.Market-Rate For-Sale Housing" sheetId="19" r:id="rId8"/>
    <sheet name="4.Affordable Rental Housing" sheetId="26" r:id="rId9"/>
    <sheet name="5.Affordable For-Sale Housing " sheetId="47" r:id="rId10"/>
    <sheet name="6.Office" sheetId="20" r:id="rId11"/>
    <sheet name="7.Industrial &amp; School" sheetId="46" r:id="rId12"/>
    <sheet name="8.Market-Rate Retail" sheetId="22" r:id="rId13"/>
    <sheet name="9.Hotel" sheetId="23" r:id="rId14"/>
    <sheet name="10.Structured Parking" sheetId="18" r:id="rId15"/>
    <sheet name="11.Surface Parking" sheetId="32" r:id="rId16"/>
    <sheet name="Additional Data After Here" sheetId="43" r:id="rId17"/>
    <sheet name="Development Schedule" sheetId="29" r:id="rId18"/>
    <sheet name="Land Acquisition" sheetId="36" r:id="rId19"/>
    <sheet name="Land Values" sheetId="34" r:id="rId20"/>
    <sheet name="Development Costs" sheetId="31" state="hidden" r:id="rId21"/>
    <sheet name="Sheet1" sheetId="44" r:id="rId22"/>
  </sheets>
  <definedNames>
    <definedName name="_xlnm.Print_Area" localSheetId="5">'1.Infrastructure Costs'!$A$1:$N$43</definedName>
    <definedName name="_xlnm.Print_Area" localSheetId="14">'10.Structured Parking'!$A$1:$M$116</definedName>
    <definedName name="_xlnm.Print_Area" localSheetId="15">'11.Surface Parking'!$A$1:$M$92</definedName>
    <definedName name="_xlnm.Print_Area" localSheetId="6">'2.Market-Rate Rental Housing'!$A$1:$M$88</definedName>
    <definedName name="_xlnm.Print_Area" localSheetId="7">'3.Market-Rate For-Sale Housing'!$A$1:$M$61</definedName>
    <definedName name="_xlnm.Print_Area" localSheetId="8">'4.Affordable Rental Housing'!$A$1:$M$66</definedName>
    <definedName name="_xlnm.Print_Area" localSheetId="9">'5.Affordable For-Sale Housing '!$A$1:$M$61</definedName>
    <definedName name="_xlnm.Print_Area" localSheetId="10">'6.Office'!$A$1:$M$55</definedName>
    <definedName name="_xlnm.Print_Area" localSheetId="11">'7.Industrial &amp; School'!$A$1:$M$66</definedName>
    <definedName name="_xlnm.Print_Area" localSheetId="12">'8.Market-Rate Retail'!$A$1:$M$117</definedName>
    <definedName name="_xlnm.Print_Area" localSheetId="20">'Development Costs'!$A$1:$E$43</definedName>
    <definedName name="_xlnm.Print_Area" localSheetId="17">'Development Schedule'!$A$1:$N$92</definedName>
    <definedName name="_xlnm.Print_Area" localSheetId="1">'Final ULI'!$A$1:$N$140</definedName>
    <definedName name="_xlnm.Print_Area" localSheetId="4">Financing!$A$1:$M$40</definedName>
    <definedName name="_xlnm.Print_Area" localSheetId="18">'Land Acquisition'!$A$1:$K$17</definedName>
    <definedName name="_xlnm.Print_Area" localSheetId="19">'Land Values'!$A$1:$G$33</definedName>
    <definedName name="_xlnm.Print_Area" localSheetId="2">'Summary Board'!$A$1:$N$140</definedName>
    <definedName name="_xlnm.Print_Area" localSheetId="0">'ULI Hines Summary Board'!$A$1:$N$141</definedName>
    <definedName name="_xlnm.Print_Titles" localSheetId="14">'10.Structured Parking'!$1:$5</definedName>
    <definedName name="_xlnm.Print_Titles" localSheetId="15">'11.Surface Parking'!$1:$5</definedName>
    <definedName name="_xlnm.Print_Titles" localSheetId="6">'2.Market-Rate Rental Housing'!$1:$5</definedName>
    <definedName name="_xlnm.Print_Titles" localSheetId="8">'4.Affordable Rental Housing'!$1:$5</definedName>
    <definedName name="_xlnm.Print_Titles" localSheetId="12">'8.Market-Rate Retail'!$1:$5</definedName>
    <definedName name="_xlnm.Print_Titles" localSheetId="17">'Development Schedule'!$1:$4</definedName>
    <definedName name="_xlnm.Print_Titles" localSheetId="19">'Land Values'!$1:$4</definedName>
  </definedNames>
  <calcPr calcId="171027"/>
</workbook>
</file>

<file path=xl/calcChain.xml><?xml version="1.0" encoding="utf-8"?>
<calcChain xmlns="http://schemas.openxmlformats.org/spreadsheetml/2006/main">
  <c r="F123" i="49" l="1"/>
  <c r="F125" i="49" s="1"/>
  <c r="F127" i="49" s="1"/>
  <c r="K117" i="49"/>
  <c r="F117" i="49"/>
  <c r="E117" i="49"/>
  <c r="E118" i="49" s="1"/>
  <c r="F118" i="49" s="1"/>
  <c r="D117" i="49"/>
  <c r="D116" i="49"/>
  <c r="F116" i="49" s="1"/>
  <c r="D115" i="49"/>
  <c r="F115" i="49" s="1"/>
  <c r="K114" i="49"/>
  <c r="F114" i="49"/>
  <c r="D114" i="49"/>
  <c r="K107" i="49"/>
  <c r="E104" i="49"/>
  <c r="C104" i="49"/>
  <c r="D104" i="49" s="1"/>
  <c r="F104" i="49" s="1"/>
  <c r="K103" i="49"/>
  <c r="C103" i="49"/>
  <c r="E103" i="49" s="1"/>
  <c r="K102" i="49"/>
  <c r="C102" i="49"/>
  <c r="C101" i="49"/>
  <c r="C100" i="49"/>
  <c r="K99" i="49"/>
  <c r="E99" i="49"/>
  <c r="D99" i="49"/>
  <c r="F99" i="49" s="1"/>
  <c r="C99" i="49"/>
  <c r="E98" i="49"/>
  <c r="D98" i="49"/>
  <c r="F98" i="49" s="1"/>
  <c r="C98" i="49"/>
  <c r="E97" i="49"/>
  <c r="D97" i="49"/>
  <c r="F97" i="49" s="1"/>
  <c r="C97" i="49"/>
  <c r="E91" i="49"/>
  <c r="F90" i="49"/>
  <c r="E89" i="49"/>
  <c r="F89" i="49" s="1"/>
  <c r="F88" i="49"/>
  <c r="E88" i="49"/>
  <c r="E87" i="49"/>
  <c r="F87" i="49" s="1"/>
  <c r="F86" i="49"/>
  <c r="E86" i="49"/>
  <c r="F85" i="49"/>
  <c r="E85" i="49"/>
  <c r="M84" i="49"/>
  <c r="M83" i="49"/>
  <c r="F83" i="49"/>
  <c r="D30" i="49" s="1"/>
  <c r="M82" i="49"/>
  <c r="M81" i="49"/>
  <c r="M74" i="49"/>
  <c r="F68" i="49"/>
  <c r="N67" i="49"/>
  <c r="M67" i="49"/>
  <c r="L67" i="49"/>
  <c r="K67" i="49"/>
  <c r="J67" i="49"/>
  <c r="I67" i="49"/>
  <c r="H67" i="49"/>
  <c r="G67" i="49"/>
  <c r="F67" i="49"/>
  <c r="E67" i="49"/>
  <c r="D67" i="49"/>
  <c r="C67" i="49"/>
  <c r="N66" i="49"/>
  <c r="M66" i="49"/>
  <c r="L66" i="49"/>
  <c r="K66" i="49"/>
  <c r="J66" i="49"/>
  <c r="I66" i="49"/>
  <c r="H66" i="49"/>
  <c r="G66" i="49"/>
  <c r="F66" i="49"/>
  <c r="E66" i="49"/>
  <c r="D66" i="49"/>
  <c r="C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N64" i="49"/>
  <c r="M64" i="49"/>
  <c r="L64" i="49"/>
  <c r="K64" i="49"/>
  <c r="J64" i="49"/>
  <c r="I64" i="49"/>
  <c r="H64" i="49"/>
  <c r="G64" i="49"/>
  <c r="F64" i="49"/>
  <c r="E64" i="49"/>
  <c r="D64" i="49"/>
  <c r="C64" i="49"/>
  <c r="N63" i="49"/>
  <c r="M63" i="49"/>
  <c r="L63" i="49"/>
  <c r="K63" i="49"/>
  <c r="J63" i="49"/>
  <c r="I63" i="49"/>
  <c r="H63" i="49"/>
  <c r="G63" i="49"/>
  <c r="F63" i="49"/>
  <c r="E63" i="49"/>
  <c r="D63" i="49"/>
  <c r="C63" i="49"/>
  <c r="N62" i="49"/>
  <c r="M62" i="49"/>
  <c r="L62" i="49"/>
  <c r="K62" i="49"/>
  <c r="J62" i="49"/>
  <c r="I62" i="49"/>
  <c r="H62" i="49"/>
  <c r="G62" i="49"/>
  <c r="F62" i="49"/>
  <c r="E62" i="49"/>
  <c r="D62" i="49"/>
  <c r="C62" i="49"/>
  <c r="C61" i="49"/>
  <c r="C60" i="49"/>
  <c r="C59" i="49"/>
  <c r="C58" i="49"/>
  <c r="N56" i="49"/>
  <c r="M56" i="49"/>
  <c r="L56" i="49"/>
  <c r="K56" i="49"/>
  <c r="J56" i="49"/>
  <c r="I56" i="49"/>
  <c r="H56" i="49"/>
  <c r="G56" i="49"/>
  <c r="F56" i="49"/>
  <c r="E56" i="49"/>
  <c r="D56" i="49"/>
  <c r="C56" i="49"/>
  <c r="N55" i="49"/>
  <c r="M55" i="49"/>
  <c r="L55" i="49"/>
  <c r="K55" i="49"/>
  <c r="J55" i="49"/>
  <c r="I55" i="49"/>
  <c r="H55" i="49"/>
  <c r="G55" i="49"/>
  <c r="F55" i="49"/>
  <c r="E55" i="49"/>
  <c r="D55" i="49"/>
  <c r="C55" i="49"/>
  <c r="N54" i="49"/>
  <c r="M54" i="49"/>
  <c r="L54" i="49"/>
  <c r="K54" i="49"/>
  <c r="J54" i="49"/>
  <c r="I54" i="49"/>
  <c r="H54" i="49"/>
  <c r="G54" i="49"/>
  <c r="F54" i="49"/>
  <c r="E54" i="49"/>
  <c r="D54" i="49"/>
  <c r="C54" i="49"/>
  <c r="N53" i="49"/>
  <c r="N61" i="49" s="1"/>
  <c r="M53" i="49"/>
  <c r="M61" i="49" s="1"/>
  <c r="L53" i="49"/>
  <c r="L61" i="49" s="1"/>
  <c r="K53" i="49"/>
  <c r="K61" i="49" s="1"/>
  <c r="J53" i="49"/>
  <c r="J61" i="49" s="1"/>
  <c r="I53" i="49"/>
  <c r="I61" i="49" s="1"/>
  <c r="H53" i="49"/>
  <c r="H61" i="49" s="1"/>
  <c r="G53" i="49"/>
  <c r="G61" i="49" s="1"/>
  <c r="F53" i="49"/>
  <c r="F61" i="49" s="1"/>
  <c r="E53" i="49"/>
  <c r="E61" i="49" s="1"/>
  <c r="D53" i="49"/>
  <c r="D61" i="49" s="1"/>
  <c r="C53" i="49"/>
  <c r="N52" i="49"/>
  <c r="N60" i="49" s="1"/>
  <c r="M52" i="49"/>
  <c r="M60" i="49" s="1"/>
  <c r="L52" i="49"/>
  <c r="L60" i="49" s="1"/>
  <c r="K52" i="49"/>
  <c r="K60" i="49" s="1"/>
  <c r="J52" i="49"/>
  <c r="J60" i="49" s="1"/>
  <c r="I52" i="49"/>
  <c r="I60" i="49" s="1"/>
  <c r="H52" i="49"/>
  <c r="H60" i="49" s="1"/>
  <c r="G52" i="49"/>
  <c r="G60" i="49" s="1"/>
  <c r="F52" i="49"/>
  <c r="F60" i="49" s="1"/>
  <c r="E52" i="49"/>
  <c r="E60" i="49" s="1"/>
  <c r="D52" i="49"/>
  <c r="D60" i="49" s="1"/>
  <c r="C52" i="49"/>
  <c r="N51" i="49"/>
  <c r="N59" i="49" s="1"/>
  <c r="M51" i="49"/>
  <c r="M59" i="49" s="1"/>
  <c r="L51" i="49"/>
  <c r="L59" i="49" s="1"/>
  <c r="K51" i="49"/>
  <c r="K59" i="49" s="1"/>
  <c r="J51" i="49"/>
  <c r="J59" i="49" s="1"/>
  <c r="I51" i="49"/>
  <c r="I59" i="49" s="1"/>
  <c r="H51" i="49"/>
  <c r="H59" i="49" s="1"/>
  <c r="G51" i="49"/>
  <c r="G59" i="49" s="1"/>
  <c r="F51" i="49"/>
  <c r="F59" i="49" s="1"/>
  <c r="E51" i="49"/>
  <c r="E59" i="49" s="1"/>
  <c r="D51" i="49"/>
  <c r="D59" i="49" s="1"/>
  <c r="C51" i="49"/>
  <c r="N50" i="49"/>
  <c r="N58" i="49" s="1"/>
  <c r="N68" i="49" s="1"/>
  <c r="M50" i="49"/>
  <c r="M58" i="49" s="1"/>
  <c r="M68" i="49" s="1"/>
  <c r="L50" i="49"/>
  <c r="L58" i="49" s="1"/>
  <c r="L68" i="49" s="1"/>
  <c r="K50" i="49"/>
  <c r="K58" i="49" s="1"/>
  <c r="K68" i="49" s="1"/>
  <c r="J50" i="49"/>
  <c r="J58" i="49" s="1"/>
  <c r="J68" i="49" s="1"/>
  <c r="I50" i="49"/>
  <c r="I58" i="49" s="1"/>
  <c r="I68" i="49" s="1"/>
  <c r="H50" i="49"/>
  <c r="H58" i="49" s="1"/>
  <c r="H68" i="49" s="1"/>
  <c r="G50" i="49"/>
  <c r="G58" i="49" s="1"/>
  <c r="G68" i="49" s="1"/>
  <c r="F50" i="49"/>
  <c r="F58" i="49" s="1"/>
  <c r="E50" i="49"/>
  <c r="E58" i="49" s="1"/>
  <c r="E68" i="49" s="1"/>
  <c r="D50" i="49"/>
  <c r="D58" i="49" s="1"/>
  <c r="D68" i="49" s="1"/>
  <c r="C50" i="49"/>
  <c r="I48" i="49"/>
  <c r="J48" i="49" s="1"/>
  <c r="K48" i="49" s="1"/>
  <c r="L48" i="49" s="1"/>
  <c r="M48" i="49" s="1"/>
  <c r="N48" i="49" s="1"/>
  <c r="F48" i="49"/>
  <c r="G48" i="49" s="1"/>
  <c r="H48" i="49" s="1"/>
  <c r="D39" i="49"/>
  <c r="D37" i="49"/>
  <c r="N34" i="49"/>
  <c r="N35" i="49" s="1"/>
  <c r="H29" i="49"/>
  <c r="I29" i="49" s="1"/>
  <c r="J29" i="49" s="1"/>
  <c r="K29" i="49" s="1"/>
  <c r="L29" i="49" s="1"/>
  <c r="M29" i="49" s="1"/>
  <c r="N29" i="49" s="1"/>
  <c r="F29" i="49"/>
  <c r="G29" i="49" s="1"/>
  <c r="D29" i="49"/>
  <c r="N28" i="49"/>
  <c r="M28" i="49"/>
  <c r="L28" i="49"/>
  <c r="K28" i="49"/>
  <c r="J28" i="49"/>
  <c r="I28" i="49"/>
  <c r="H28" i="49"/>
  <c r="G28" i="49"/>
  <c r="F28" i="49"/>
  <c r="E28" i="49"/>
  <c r="D28" i="49"/>
  <c r="G27" i="49"/>
  <c r="H27" i="49" s="1"/>
  <c r="I27" i="49" s="1"/>
  <c r="J27" i="49" s="1"/>
  <c r="K27" i="49" s="1"/>
  <c r="L27" i="49" s="1"/>
  <c r="M27" i="49" s="1"/>
  <c r="N27" i="49" s="1"/>
  <c r="E27" i="49"/>
  <c r="D27" i="49"/>
  <c r="N26" i="49"/>
  <c r="M26" i="49"/>
  <c r="L26" i="49"/>
  <c r="K26" i="49"/>
  <c r="J26" i="49"/>
  <c r="I26" i="49"/>
  <c r="H26" i="49"/>
  <c r="G26" i="49"/>
  <c r="F26" i="49"/>
  <c r="E26" i="49"/>
  <c r="D26" i="49"/>
  <c r="N25" i="49"/>
  <c r="M25" i="49"/>
  <c r="L25" i="49"/>
  <c r="K25" i="49"/>
  <c r="J25" i="49"/>
  <c r="I25" i="49"/>
  <c r="H25" i="49"/>
  <c r="G25" i="49"/>
  <c r="F25" i="49"/>
  <c r="F80" i="49" s="1"/>
  <c r="E80" i="49" s="1"/>
  <c r="E25" i="49"/>
  <c r="D25" i="49"/>
  <c r="N24" i="49"/>
  <c r="M24" i="49"/>
  <c r="L24" i="49"/>
  <c r="K24" i="49"/>
  <c r="J24" i="49"/>
  <c r="I24" i="49"/>
  <c r="H24" i="49"/>
  <c r="G24" i="49"/>
  <c r="F24" i="49"/>
  <c r="E24" i="49"/>
  <c r="F79" i="49" s="1"/>
  <c r="E79" i="49" s="1"/>
  <c r="D24" i="49"/>
  <c r="N23" i="49"/>
  <c r="M23" i="49"/>
  <c r="L23" i="49"/>
  <c r="K23" i="49"/>
  <c r="J23" i="49"/>
  <c r="I23" i="49"/>
  <c r="H23" i="49"/>
  <c r="G23" i="49"/>
  <c r="F23" i="49"/>
  <c r="E23" i="49"/>
  <c r="D23" i="49"/>
  <c r="F78" i="49" s="1"/>
  <c r="E78" i="49" s="1"/>
  <c r="N22" i="49"/>
  <c r="M22" i="49"/>
  <c r="L22" i="49"/>
  <c r="K22" i="49"/>
  <c r="J22" i="49"/>
  <c r="I22" i="49"/>
  <c r="H22" i="49"/>
  <c r="G22" i="49"/>
  <c r="F77" i="49" s="1"/>
  <c r="E77" i="49" s="1"/>
  <c r="F22" i="49"/>
  <c r="E22" i="49"/>
  <c r="D22" i="49"/>
  <c r="N21" i="49"/>
  <c r="M21" i="49"/>
  <c r="L21" i="49"/>
  <c r="K21" i="49"/>
  <c r="J21" i="49"/>
  <c r="I21" i="49"/>
  <c r="H21" i="49"/>
  <c r="G21" i="49"/>
  <c r="F21" i="49"/>
  <c r="E21" i="49"/>
  <c r="D21" i="49"/>
  <c r="N20" i="49"/>
  <c r="M20" i="49"/>
  <c r="L20" i="49"/>
  <c r="K20" i="49"/>
  <c r="J20" i="49"/>
  <c r="I20" i="49"/>
  <c r="H20" i="49"/>
  <c r="G20" i="49"/>
  <c r="F20" i="49"/>
  <c r="E20" i="49"/>
  <c r="F75" i="49" s="1"/>
  <c r="E75" i="49" s="1"/>
  <c r="D20" i="49"/>
  <c r="N19" i="49"/>
  <c r="M19" i="49"/>
  <c r="L19" i="49"/>
  <c r="K19" i="49"/>
  <c r="J19" i="49"/>
  <c r="I19" i="49"/>
  <c r="H19" i="49"/>
  <c r="H31" i="49" s="1"/>
  <c r="H36" i="49" s="1"/>
  <c r="G19" i="49"/>
  <c r="F19" i="49"/>
  <c r="E19" i="49"/>
  <c r="D19" i="49"/>
  <c r="F74" i="49" s="1"/>
  <c r="E74" i="49" s="1"/>
  <c r="N18" i="49"/>
  <c r="M18" i="49"/>
  <c r="L18" i="49"/>
  <c r="K18" i="49"/>
  <c r="J18" i="49"/>
  <c r="I18" i="49"/>
  <c r="H18" i="49"/>
  <c r="G18" i="49"/>
  <c r="F73" i="49" s="1"/>
  <c r="E73" i="49" s="1"/>
  <c r="F18" i="49"/>
  <c r="E18" i="49"/>
  <c r="D18" i="49"/>
  <c r="N17" i="49"/>
  <c r="M17" i="49"/>
  <c r="L17" i="49"/>
  <c r="K17" i="49"/>
  <c r="J17" i="49"/>
  <c r="I17" i="49"/>
  <c r="H17" i="49"/>
  <c r="G17" i="49"/>
  <c r="F17" i="49"/>
  <c r="F31" i="49" s="1"/>
  <c r="F36" i="49" s="1"/>
  <c r="E17" i="49"/>
  <c r="D17" i="49"/>
  <c r="N14" i="49"/>
  <c r="M14" i="49"/>
  <c r="L14" i="49"/>
  <c r="K14" i="49"/>
  <c r="J14" i="49"/>
  <c r="I14" i="49"/>
  <c r="H14" i="49"/>
  <c r="G14" i="49"/>
  <c r="F14" i="49"/>
  <c r="E14" i="49"/>
  <c r="D14" i="49"/>
  <c r="N13" i="49"/>
  <c r="M13" i="49"/>
  <c r="L13" i="49"/>
  <c r="K13" i="49"/>
  <c r="J13" i="49"/>
  <c r="I13" i="49"/>
  <c r="H13" i="49"/>
  <c r="G13" i="49"/>
  <c r="F13" i="49"/>
  <c r="E13" i="49"/>
  <c r="D13" i="49"/>
  <c r="N12" i="49"/>
  <c r="M12" i="49"/>
  <c r="L12" i="49"/>
  <c r="K12" i="49"/>
  <c r="J12" i="49"/>
  <c r="I12" i="49"/>
  <c r="H12" i="49"/>
  <c r="G12" i="49"/>
  <c r="F12" i="49"/>
  <c r="E12" i="49"/>
  <c r="D12" i="49"/>
  <c r="N11" i="49"/>
  <c r="M11" i="49"/>
  <c r="L11" i="49"/>
  <c r="K11" i="49"/>
  <c r="J11" i="49"/>
  <c r="I11" i="49"/>
  <c r="H11" i="49"/>
  <c r="G11" i="49"/>
  <c r="F11" i="49"/>
  <c r="E11" i="49"/>
  <c r="D11" i="49"/>
  <c r="N10" i="49"/>
  <c r="M10" i="49"/>
  <c r="L10" i="49"/>
  <c r="K10" i="49"/>
  <c r="J10" i="49"/>
  <c r="I10" i="49"/>
  <c r="H10" i="49"/>
  <c r="G10" i="49"/>
  <c r="F10" i="49"/>
  <c r="E10" i="49"/>
  <c r="D10" i="49"/>
  <c r="N9" i="49"/>
  <c r="M9" i="49"/>
  <c r="L9" i="49"/>
  <c r="K9" i="49"/>
  <c r="J9" i="49"/>
  <c r="I9" i="49"/>
  <c r="H9" i="49"/>
  <c r="G9" i="49"/>
  <c r="F9" i="49"/>
  <c r="E9" i="49"/>
  <c r="D9" i="49"/>
  <c r="N8" i="49"/>
  <c r="M8" i="49"/>
  <c r="L8" i="49"/>
  <c r="K8" i="49"/>
  <c r="J8" i="49"/>
  <c r="I8" i="49"/>
  <c r="H8" i="49"/>
  <c r="G8" i="49"/>
  <c r="F8" i="49"/>
  <c r="E8" i="49"/>
  <c r="D8" i="49"/>
  <c r="N7" i="49"/>
  <c r="M7" i="49"/>
  <c r="M15" i="49" s="1"/>
  <c r="M33" i="49" s="1"/>
  <c r="L7" i="49"/>
  <c r="K7" i="49"/>
  <c r="J7" i="49"/>
  <c r="I7" i="49"/>
  <c r="I15" i="49" s="1"/>
  <c r="I33" i="49" s="1"/>
  <c r="H7" i="49"/>
  <c r="G7" i="49"/>
  <c r="F7" i="49"/>
  <c r="E7" i="49"/>
  <c r="E15" i="49" s="1"/>
  <c r="E33" i="49" s="1"/>
  <c r="D7" i="49"/>
  <c r="N6" i="49"/>
  <c r="M6" i="49"/>
  <c r="L6" i="49"/>
  <c r="K6" i="49"/>
  <c r="J6" i="49"/>
  <c r="I6" i="49"/>
  <c r="H6" i="49"/>
  <c r="G6" i="49"/>
  <c r="F6" i="49"/>
  <c r="E6" i="49"/>
  <c r="D6" i="49"/>
  <c r="N5" i="49"/>
  <c r="M5" i="49"/>
  <c r="L5" i="49"/>
  <c r="K5" i="49"/>
  <c r="K15" i="49" s="1"/>
  <c r="K33" i="49" s="1"/>
  <c r="J5" i="49"/>
  <c r="I5" i="49"/>
  <c r="H5" i="49"/>
  <c r="G5" i="49"/>
  <c r="G15" i="49" s="1"/>
  <c r="G33" i="49" s="1"/>
  <c r="F5" i="49"/>
  <c r="E5" i="49"/>
  <c r="D5" i="49"/>
  <c r="F3" i="49"/>
  <c r="G3" i="49" s="1"/>
  <c r="H3" i="49" s="1"/>
  <c r="I3" i="49" s="1"/>
  <c r="J3" i="49" s="1"/>
  <c r="K3" i="49" s="1"/>
  <c r="L3" i="49" s="1"/>
  <c r="M3" i="49" s="1"/>
  <c r="N3" i="49" s="1"/>
  <c r="L31" i="49" l="1"/>
  <c r="L36" i="49" s="1"/>
  <c r="G38" i="49"/>
  <c r="J43" i="49"/>
  <c r="F81" i="49"/>
  <c r="E81" i="49" s="1"/>
  <c r="F82" i="49"/>
  <c r="D31" i="49"/>
  <c r="D36" i="49" s="1"/>
  <c r="J44" i="49"/>
  <c r="D15" i="49"/>
  <c r="D33" i="49" s="1"/>
  <c r="D38" i="49" s="1"/>
  <c r="H15" i="49"/>
  <c r="H33" i="49" s="1"/>
  <c r="H38" i="49" s="1"/>
  <c r="L15" i="49"/>
  <c r="L33" i="49" s="1"/>
  <c r="L38" i="49" s="1"/>
  <c r="F15" i="49"/>
  <c r="F33" i="49" s="1"/>
  <c r="J15" i="49"/>
  <c r="J33" i="49" s="1"/>
  <c r="N15" i="49"/>
  <c r="N33" i="49" s="1"/>
  <c r="G31" i="49"/>
  <c r="G36" i="49" s="1"/>
  <c r="K31" i="49"/>
  <c r="K36" i="49" s="1"/>
  <c r="K38" i="49" s="1"/>
  <c r="E31" i="49"/>
  <c r="E36" i="49" s="1"/>
  <c r="I31" i="49"/>
  <c r="I36" i="49" s="1"/>
  <c r="I38" i="49" s="1"/>
  <c r="M31" i="49"/>
  <c r="M36" i="49" s="1"/>
  <c r="M38" i="49" s="1"/>
  <c r="J31" i="49"/>
  <c r="J36" i="49" s="1"/>
  <c r="F72" i="49"/>
  <c r="E72" i="49" s="1"/>
  <c r="F76" i="49"/>
  <c r="E76" i="49" s="1"/>
  <c r="F91" i="49"/>
  <c r="N31" i="49"/>
  <c r="N36" i="49" s="1"/>
  <c r="M80" i="49"/>
  <c r="D100" i="49"/>
  <c r="D101" i="49"/>
  <c r="F101" i="49" s="1"/>
  <c r="D102" i="49"/>
  <c r="F102" i="49" s="1"/>
  <c r="E100" i="49"/>
  <c r="F100" i="49" s="1"/>
  <c r="E101" i="49"/>
  <c r="E102" i="49"/>
  <c r="D103" i="49"/>
  <c r="F103" i="49" s="1"/>
  <c r="D118" i="49"/>
  <c r="F34" i="49"/>
  <c r="E35" i="49" s="1"/>
  <c r="E38" i="49" s="1"/>
  <c r="E85" i="28"/>
  <c r="F85" i="28" s="1"/>
  <c r="F90" i="28"/>
  <c r="J38" i="49" l="1"/>
  <c r="C43" i="49"/>
  <c r="N38" i="49"/>
  <c r="C34" i="49"/>
  <c r="F92" i="49"/>
  <c r="F38" i="49"/>
  <c r="C41" i="49" s="1"/>
  <c r="M82" i="28"/>
  <c r="M83" i="28"/>
  <c r="C97" i="28" l="1"/>
  <c r="C98" i="28"/>
  <c r="K117" i="28"/>
  <c r="K107" i="28"/>
  <c r="C18" i="38"/>
  <c r="K99" i="28"/>
  <c r="F76" i="14"/>
  <c r="C31" i="37" l="1"/>
  <c r="E31" i="37"/>
  <c r="F31" i="37"/>
  <c r="G31" i="37"/>
  <c r="H31" i="37"/>
  <c r="I31" i="37"/>
  <c r="J31" i="37"/>
  <c r="K31" i="37"/>
  <c r="C104" i="28"/>
  <c r="C103" i="28"/>
  <c r="C102" i="28"/>
  <c r="C101" i="28"/>
  <c r="C100" i="28"/>
  <c r="C99" i="28"/>
  <c r="K102" i="28"/>
  <c r="K114" i="28"/>
  <c r="D27" i="28"/>
  <c r="F81" i="48"/>
  <c r="D27" i="48"/>
  <c r="F124" i="48" l="1"/>
  <c r="F126" i="48"/>
  <c r="F128" i="48" s="1"/>
  <c r="E117" i="48"/>
  <c r="E119" i="48" s="1"/>
  <c r="F119" i="48" s="1"/>
  <c r="D117" i="48"/>
  <c r="F117" i="48" s="1"/>
  <c r="D116" i="48"/>
  <c r="F116" i="48" s="1"/>
  <c r="D115" i="48"/>
  <c r="F115" i="48" s="1"/>
  <c r="D114" i="48"/>
  <c r="C104" i="48"/>
  <c r="D104" i="48" s="1"/>
  <c r="E103" i="48"/>
  <c r="F103" i="48" s="1"/>
  <c r="D103" i="48"/>
  <c r="E102" i="48"/>
  <c r="D102" i="48"/>
  <c r="F102" i="48" s="1"/>
  <c r="C102" i="48"/>
  <c r="C101" i="48"/>
  <c r="E101" i="48" s="1"/>
  <c r="C100" i="48"/>
  <c r="E100" i="48" s="1"/>
  <c r="K99" i="48"/>
  <c r="E99" i="48"/>
  <c r="C99" i="48"/>
  <c r="D99" i="48" s="1"/>
  <c r="F99" i="48" s="1"/>
  <c r="C98" i="48"/>
  <c r="D98" i="48" s="1"/>
  <c r="C97" i="48"/>
  <c r="D97" i="48" s="1"/>
  <c r="K95" i="48"/>
  <c r="K91" i="48"/>
  <c r="E89" i="48"/>
  <c r="E88" i="48"/>
  <c r="E87" i="48"/>
  <c r="E86" i="48"/>
  <c r="E85" i="48"/>
  <c r="F83" i="48"/>
  <c r="D30" i="48" s="1"/>
  <c r="M80" i="48"/>
  <c r="M79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C61" i="48"/>
  <c r="C59" i="48"/>
  <c r="N56" i="48"/>
  <c r="M56" i="48"/>
  <c r="L56" i="48"/>
  <c r="K56" i="48"/>
  <c r="J56" i="48"/>
  <c r="I56" i="48"/>
  <c r="H56" i="48"/>
  <c r="G56" i="48"/>
  <c r="F56" i="48"/>
  <c r="E56" i="48"/>
  <c r="D56" i="48"/>
  <c r="C56" i="48"/>
  <c r="N55" i="48"/>
  <c r="M55" i="48"/>
  <c r="L55" i="48"/>
  <c r="K55" i="48"/>
  <c r="J55" i="48"/>
  <c r="I55" i="48"/>
  <c r="H55" i="48"/>
  <c r="G55" i="48"/>
  <c r="F55" i="48"/>
  <c r="E55" i="48"/>
  <c r="D55" i="48"/>
  <c r="C55" i="48"/>
  <c r="N54" i="48"/>
  <c r="M54" i="48"/>
  <c r="L54" i="48"/>
  <c r="K54" i="48"/>
  <c r="J54" i="48"/>
  <c r="I54" i="48"/>
  <c r="H54" i="48"/>
  <c r="G54" i="48"/>
  <c r="F54" i="48"/>
  <c r="E54" i="48"/>
  <c r="D54" i="48"/>
  <c r="C54" i="48"/>
  <c r="N53" i="48"/>
  <c r="N61" i="48" s="1"/>
  <c r="M53" i="48"/>
  <c r="M61" i="48" s="1"/>
  <c r="L53" i="48"/>
  <c r="L61" i="48" s="1"/>
  <c r="K53" i="48"/>
  <c r="K61" i="48" s="1"/>
  <c r="J53" i="48"/>
  <c r="J61" i="48" s="1"/>
  <c r="I53" i="48"/>
  <c r="I61" i="48" s="1"/>
  <c r="H53" i="48"/>
  <c r="H61" i="48" s="1"/>
  <c r="G53" i="48"/>
  <c r="G61" i="48" s="1"/>
  <c r="F53" i="48"/>
  <c r="F61" i="48" s="1"/>
  <c r="E53" i="48"/>
  <c r="E61" i="48" s="1"/>
  <c r="D53" i="48"/>
  <c r="D61" i="48" s="1"/>
  <c r="C53" i="48"/>
  <c r="N52" i="48"/>
  <c r="N60" i="48" s="1"/>
  <c r="M52" i="48"/>
  <c r="M60" i="48" s="1"/>
  <c r="J52" i="48"/>
  <c r="J60" i="48" s="1"/>
  <c r="I52" i="48"/>
  <c r="I60" i="48" s="1"/>
  <c r="H52" i="48"/>
  <c r="H60" i="48" s="1"/>
  <c r="G52" i="48"/>
  <c r="G60" i="48" s="1"/>
  <c r="F52" i="48"/>
  <c r="F60" i="48" s="1"/>
  <c r="E52" i="48"/>
  <c r="E60" i="48" s="1"/>
  <c r="D52" i="48"/>
  <c r="D60" i="48" s="1"/>
  <c r="N51" i="48"/>
  <c r="N59" i="48" s="1"/>
  <c r="M51" i="48"/>
  <c r="M59" i="48" s="1"/>
  <c r="L51" i="48"/>
  <c r="L59" i="48" s="1"/>
  <c r="K51" i="48"/>
  <c r="K59" i="48" s="1"/>
  <c r="J51" i="48"/>
  <c r="J59" i="48" s="1"/>
  <c r="I51" i="48"/>
  <c r="I59" i="48" s="1"/>
  <c r="H51" i="48"/>
  <c r="H59" i="48" s="1"/>
  <c r="G51" i="48"/>
  <c r="G59" i="48" s="1"/>
  <c r="F51" i="48"/>
  <c r="F59" i="48" s="1"/>
  <c r="E51" i="48"/>
  <c r="E59" i="48" s="1"/>
  <c r="D51" i="48"/>
  <c r="D59" i="48" s="1"/>
  <c r="C51" i="48"/>
  <c r="N50" i="48"/>
  <c r="N58" i="48" s="1"/>
  <c r="N68" i="48" s="1"/>
  <c r="M50" i="48"/>
  <c r="M58" i="48" s="1"/>
  <c r="M68" i="48" s="1"/>
  <c r="J50" i="48"/>
  <c r="J58" i="48" s="1"/>
  <c r="J68" i="48" s="1"/>
  <c r="I50" i="48"/>
  <c r="I58" i="48" s="1"/>
  <c r="I68" i="48" s="1"/>
  <c r="H50" i="48"/>
  <c r="H58" i="48" s="1"/>
  <c r="H68" i="48" s="1"/>
  <c r="G50" i="48"/>
  <c r="G58" i="48" s="1"/>
  <c r="G68" i="48" s="1"/>
  <c r="F50" i="48"/>
  <c r="F58" i="48" s="1"/>
  <c r="F68" i="48" s="1"/>
  <c r="E50" i="48"/>
  <c r="E58" i="48" s="1"/>
  <c r="E68" i="48" s="1"/>
  <c r="D50" i="48"/>
  <c r="D58" i="48" s="1"/>
  <c r="D68" i="48" s="1"/>
  <c r="F48" i="48"/>
  <c r="G48" i="48" s="1"/>
  <c r="H48" i="48" s="1"/>
  <c r="I48" i="48" s="1"/>
  <c r="J48" i="48" s="1"/>
  <c r="K48" i="48" s="1"/>
  <c r="L48" i="48" s="1"/>
  <c r="M48" i="48" s="1"/>
  <c r="N48" i="48" s="1"/>
  <c r="F29" i="48"/>
  <c r="G29" i="48" s="1"/>
  <c r="H29" i="48" s="1"/>
  <c r="I29" i="48" s="1"/>
  <c r="J29" i="48" s="1"/>
  <c r="K29" i="48" s="1"/>
  <c r="L29" i="48" s="1"/>
  <c r="M29" i="48" s="1"/>
  <c r="N29" i="48" s="1"/>
  <c r="N28" i="48"/>
  <c r="M28" i="48"/>
  <c r="L28" i="48"/>
  <c r="K28" i="48"/>
  <c r="J28" i="48"/>
  <c r="I28" i="48"/>
  <c r="H28" i="48"/>
  <c r="G28" i="48"/>
  <c r="D28" i="48"/>
  <c r="G27" i="48"/>
  <c r="H27" i="48" s="1"/>
  <c r="I27" i="48" s="1"/>
  <c r="J27" i="48" s="1"/>
  <c r="K27" i="48" s="1"/>
  <c r="L27" i="48" s="1"/>
  <c r="M27" i="48" s="1"/>
  <c r="N27" i="48" s="1"/>
  <c r="E27" i="48"/>
  <c r="J43" i="48"/>
  <c r="N26" i="48"/>
  <c r="M26" i="48"/>
  <c r="L26" i="48"/>
  <c r="K26" i="48"/>
  <c r="J26" i="48"/>
  <c r="I26" i="48"/>
  <c r="H26" i="48"/>
  <c r="G26" i="48"/>
  <c r="F26" i="48"/>
  <c r="E26" i="48"/>
  <c r="D26" i="48"/>
  <c r="D23" i="48"/>
  <c r="N14" i="48"/>
  <c r="M14" i="48"/>
  <c r="L14" i="48"/>
  <c r="K14" i="48"/>
  <c r="J14" i="48"/>
  <c r="I14" i="48"/>
  <c r="H14" i="48"/>
  <c r="G14" i="48"/>
  <c r="F14" i="48"/>
  <c r="E14" i="48"/>
  <c r="D14" i="48"/>
  <c r="N9" i="48"/>
  <c r="M9" i="48"/>
  <c r="L9" i="48"/>
  <c r="K9" i="48"/>
  <c r="J9" i="48"/>
  <c r="I9" i="48"/>
  <c r="H9" i="48"/>
  <c r="G9" i="48"/>
  <c r="F9" i="48"/>
  <c r="E9" i="48"/>
  <c r="D9" i="48"/>
  <c r="D7" i="48"/>
  <c r="D5" i="48"/>
  <c r="F3" i="48"/>
  <c r="G3" i="48" s="1"/>
  <c r="H3" i="48" s="1"/>
  <c r="I3" i="48" s="1"/>
  <c r="J3" i="48" s="1"/>
  <c r="K3" i="48" s="1"/>
  <c r="L3" i="48" s="1"/>
  <c r="M3" i="48" s="1"/>
  <c r="N3" i="48" s="1"/>
  <c r="D86" i="29"/>
  <c r="D91" i="29"/>
  <c r="N86" i="29"/>
  <c r="M86" i="29"/>
  <c r="L86" i="29"/>
  <c r="K86" i="29"/>
  <c r="J86" i="29"/>
  <c r="I86" i="29"/>
  <c r="H86" i="29"/>
  <c r="G86" i="29"/>
  <c r="F98" i="48" l="1"/>
  <c r="E98" i="48"/>
  <c r="D101" i="48"/>
  <c r="F101" i="48" s="1"/>
  <c r="E104" i="48"/>
  <c r="F104" i="48"/>
  <c r="D100" i="48"/>
  <c r="F100" i="48" s="1"/>
  <c r="D119" i="48"/>
  <c r="E91" i="48"/>
  <c r="E97" i="48"/>
  <c r="F97" i="48" s="1"/>
  <c r="E81" i="48"/>
  <c r="E34" i="48"/>
  <c r="E35" i="48" s="1"/>
  <c r="F114" i="48"/>
  <c r="F72" i="29" l="1"/>
  <c r="C68" i="29"/>
  <c r="L63" i="29" l="1"/>
  <c r="C13" i="38" l="1"/>
  <c r="M74" i="48" s="1"/>
  <c r="E32" i="29"/>
  <c r="E86" i="29" s="1"/>
  <c r="E9" i="15" s="1"/>
  <c r="F32" i="29"/>
  <c r="F86" i="29" s="1"/>
  <c r="E22" i="29"/>
  <c r="E21" i="29"/>
  <c r="C44" i="29"/>
  <c r="C40" i="29"/>
  <c r="C35" i="29" s="1"/>
  <c r="C48" i="29"/>
  <c r="C57" i="22"/>
  <c r="C21" i="22"/>
  <c r="C12" i="22"/>
  <c r="D9" i="22"/>
  <c r="M74" i="28" l="1"/>
  <c r="C61" i="29"/>
  <c r="I68" i="29"/>
  <c r="C59" i="46"/>
  <c r="D59" i="46" s="1"/>
  <c r="C58" i="46"/>
  <c r="C58" i="29"/>
  <c r="C52" i="29"/>
  <c r="C38" i="29"/>
  <c r="C37" i="29"/>
  <c r="C43" i="29"/>
  <c r="C17" i="29"/>
  <c r="C29" i="29"/>
  <c r="C12" i="29"/>
  <c r="C10" i="29"/>
  <c r="C8" i="29"/>
  <c r="D102" i="28"/>
  <c r="D101" i="28"/>
  <c r="D100" i="28"/>
  <c r="D99" i="28"/>
  <c r="D98" i="28"/>
  <c r="D97" i="28"/>
  <c r="D103" i="28"/>
  <c r="D104" i="28"/>
  <c r="M27" i="46" l="1"/>
  <c r="I27" i="46"/>
  <c r="F83" i="28"/>
  <c r="D30" i="28" s="1"/>
  <c r="M81" i="28"/>
  <c r="F24" i="29"/>
  <c r="C24" i="29"/>
  <c r="G23" i="29"/>
  <c r="F23" i="29"/>
  <c r="C23" i="29"/>
  <c r="E14" i="29"/>
  <c r="D53" i="28"/>
  <c r="D61" i="28" s="1"/>
  <c r="D51" i="28"/>
  <c r="M27" i="47"/>
  <c r="K27" i="47"/>
  <c r="L53" i="28" s="1"/>
  <c r="L61" i="28" s="1"/>
  <c r="J27" i="47"/>
  <c r="K53" i="28" s="1"/>
  <c r="K61" i="28" s="1"/>
  <c r="I27" i="47"/>
  <c r="H27" i="47"/>
  <c r="G27" i="47"/>
  <c r="F27" i="47"/>
  <c r="E27" i="47"/>
  <c r="D27" i="47"/>
  <c r="M18" i="47"/>
  <c r="L18" i="47"/>
  <c r="K18" i="47"/>
  <c r="J18" i="47"/>
  <c r="G18" i="47"/>
  <c r="F18" i="47"/>
  <c r="E18" i="47"/>
  <c r="D18" i="47"/>
  <c r="M9" i="47"/>
  <c r="N53" i="28" s="1"/>
  <c r="N61" i="28" s="1"/>
  <c r="L9" i="47"/>
  <c r="K9" i="47"/>
  <c r="J9" i="47"/>
  <c r="I9" i="47"/>
  <c r="H9" i="47"/>
  <c r="G9" i="47"/>
  <c r="H53" i="28" s="1"/>
  <c r="H61" i="28" s="1"/>
  <c r="F9" i="47"/>
  <c r="G53" i="28" s="1"/>
  <c r="G61" i="28" s="1"/>
  <c r="E9" i="47"/>
  <c r="F53" i="28" s="1"/>
  <c r="F61" i="28" s="1"/>
  <c r="D9" i="47"/>
  <c r="E53" i="28" s="1"/>
  <c r="E61" i="28" s="1"/>
  <c r="D55" i="47"/>
  <c r="D54" i="47"/>
  <c r="D53" i="47"/>
  <c r="D78" i="29"/>
  <c r="C46" i="29"/>
  <c r="C61" i="28" l="1"/>
  <c r="N81" i="29"/>
  <c r="L81" i="29"/>
  <c r="K81" i="29"/>
  <c r="H81" i="29"/>
  <c r="G81" i="29"/>
  <c r="F81" i="29"/>
  <c r="E81" i="29"/>
  <c r="D81" i="29"/>
  <c r="M67" i="29"/>
  <c r="L27" i="47" s="1"/>
  <c r="M53" i="28" s="1"/>
  <c r="M61" i="28" s="1"/>
  <c r="C66" i="29"/>
  <c r="C55" i="47" s="1"/>
  <c r="J41" i="29"/>
  <c r="I18" i="47" s="1"/>
  <c r="J53" i="28" s="1"/>
  <c r="J61" i="28" s="1"/>
  <c r="I41" i="29"/>
  <c r="H18" i="47" s="1"/>
  <c r="I53" i="28" s="1"/>
  <c r="I61" i="28" s="1"/>
  <c r="C54" i="47"/>
  <c r="E13" i="29"/>
  <c r="B36" i="47"/>
  <c r="B35" i="47"/>
  <c r="E29" i="47"/>
  <c r="D29" i="47"/>
  <c r="F28" i="47"/>
  <c r="E28" i="47"/>
  <c r="D20" i="47"/>
  <c r="L19" i="47"/>
  <c r="M19" i="47" s="1"/>
  <c r="E19" i="47"/>
  <c r="D11" i="47"/>
  <c r="M10" i="47"/>
  <c r="L10" i="47"/>
  <c r="E5" i="47"/>
  <c r="F5" i="47" s="1"/>
  <c r="G5" i="47" s="1"/>
  <c r="H5" i="47" s="1"/>
  <c r="I5" i="47" s="1"/>
  <c r="J5" i="47" s="1"/>
  <c r="K5" i="47" s="1"/>
  <c r="L5" i="47" s="1"/>
  <c r="M5" i="47" s="1"/>
  <c r="D4" i="47"/>
  <c r="E4" i="47" s="1"/>
  <c r="F4" i="47" s="1"/>
  <c r="M81" i="29" l="1"/>
  <c r="H19" i="47"/>
  <c r="I81" i="29"/>
  <c r="J81" i="29"/>
  <c r="J31" i="47"/>
  <c r="E22" i="47"/>
  <c r="G4" i="47"/>
  <c r="F29" i="47"/>
  <c r="M28" i="47"/>
  <c r="L28" i="47"/>
  <c r="I31" i="47"/>
  <c r="E31" i="47"/>
  <c r="H31" i="47"/>
  <c r="D31" i="47"/>
  <c r="G31" i="47"/>
  <c r="G28" i="47"/>
  <c r="F22" i="47"/>
  <c r="D22" i="47"/>
  <c r="F31" i="47"/>
  <c r="I19" i="47"/>
  <c r="F19" i="47"/>
  <c r="E20" i="47"/>
  <c r="J19" i="47" l="1"/>
  <c r="M20" i="47" s="1"/>
  <c r="F20" i="47"/>
  <c r="G19" i="47"/>
  <c r="J20" i="47"/>
  <c r="G20" i="47"/>
  <c r="H28" i="47"/>
  <c r="G29" i="47"/>
  <c r="L20" i="47"/>
  <c r="I20" i="47"/>
  <c r="H20" i="47"/>
  <c r="H4" i="47"/>
  <c r="K20" i="47" l="1"/>
  <c r="I28" i="47"/>
  <c r="H29" i="47"/>
  <c r="I4" i="47"/>
  <c r="J4" i="47" l="1"/>
  <c r="J28" i="47"/>
  <c r="K4" i="47" l="1"/>
  <c r="K28" i="47"/>
  <c r="L29" i="47" s="1"/>
  <c r="J29" i="47"/>
  <c r="M29" i="47" l="1"/>
  <c r="L4" i="47"/>
  <c r="K29" i="47"/>
  <c r="I29" i="47"/>
  <c r="M4" i="47" l="1"/>
  <c r="M69" i="29" l="1"/>
  <c r="M60" i="29"/>
  <c r="I25" i="14" l="1"/>
  <c r="K103" i="28"/>
  <c r="C14" i="47" s="1"/>
  <c r="C20" i="18"/>
  <c r="C39" i="18" s="1"/>
  <c r="C58" i="18" s="1"/>
  <c r="C77" i="18" s="1"/>
  <c r="D113" i="18"/>
  <c r="C40" i="18"/>
  <c r="C11" i="18"/>
  <c r="C30" i="22"/>
  <c r="C39" i="22" s="1"/>
  <c r="C48" i="22" s="1"/>
  <c r="D63" i="46"/>
  <c r="C12" i="46"/>
  <c r="C21" i="46" s="1"/>
  <c r="C30" i="46" s="1"/>
  <c r="D52" i="20"/>
  <c r="D51" i="20"/>
  <c r="D85" i="14"/>
  <c r="D63" i="26"/>
  <c r="C14" i="26"/>
  <c r="D19" i="34"/>
  <c r="D20" i="34"/>
  <c r="F20" i="34"/>
  <c r="E117" i="28"/>
  <c r="E118" i="28" s="1"/>
  <c r="D116" i="28"/>
  <c r="F116" i="28" s="1"/>
  <c r="D115" i="28"/>
  <c r="F34" i="28" s="1"/>
  <c r="D31" i="37" s="1"/>
  <c r="D114" i="28"/>
  <c r="F114" i="28" s="1"/>
  <c r="F123" i="28" l="1"/>
  <c r="C66" i="22"/>
  <c r="C75" i="22" s="1"/>
  <c r="E14" i="47"/>
  <c r="C23" i="47"/>
  <c r="F14" i="47"/>
  <c r="D14" i="47"/>
  <c r="G14" i="47"/>
  <c r="H14" i="47"/>
  <c r="I14" i="47"/>
  <c r="J14" i="47"/>
  <c r="K14" i="47"/>
  <c r="L14" i="47"/>
  <c r="M14" i="47"/>
  <c r="F115" i="28"/>
  <c r="E35" i="28"/>
  <c r="D113" i="22"/>
  <c r="G23" i="47" l="1"/>
  <c r="G32" i="47" s="1"/>
  <c r="F23" i="47"/>
  <c r="F32" i="47" s="1"/>
  <c r="C34" i="47"/>
  <c r="C32" i="47"/>
  <c r="D23" i="47"/>
  <c r="E23" i="47"/>
  <c r="H23" i="47"/>
  <c r="I23" i="47"/>
  <c r="J23" i="47"/>
  <c r="J32" i="47" s="1"/>
  <c r="K23" i="47"/>
  <c r="L23" i="47"/>
  <c r="M23" i="47"/>
  <c r="N78" i="29"/>
  <c r="M78" i="29"/>
  <c r="E78" i="29"/>
  <c r="N80" i="29"/>
  <c r="K80" i="29"/>
  <c r="G80" i="29"/>
  <c r="F80" i="29"/>
  <c r="D80" i="29"/>
  <c r="D11" i="19"/>
  <c r="M9" i="19"/>
  <c r="L9" i="19"/>
  <c r="K9" i="19"/>
  <c r="J9" i="19"/>
  <c r="I9" i="19"/>
  <c r="H9" i="19"/>
  <c r="G9" i="19"/>
  <c r="F9" i="19"/>
  <c r="E9" i="19"/>
  <c r="C14" i="19"/>
  <c r="C23" i="19" s="1"/>
  <c r="C34" i="19" s="1"/>
  <c r="L10" i="19"/>
  <c r="M10" i="19" s="1"/>
  <c r="G19" i="34"/>
  <c r="L34" i="47" l="1"/>
  <c r="L32" i="47"/>
  <c r="H34" i="47"/>
  <c r="H32" i="47"/>
  <c r="C36" i="47"/>
  <c r="C35" i="47"/>
  <c r="M34" i="47"/>
  <c r="M32" i="47"/>
  <c r="I34" i="47"/>
  <c r="I32" i="47"/>
  <c r="K32" i="47"/>
  <c r="K34" i="47"/>
  <c r="E32" i="47"/>
  <c r="D34" i="47"/>
  <c r="D32" i="47"/>
  <c r="D14" i="19"/>
  <c r="K36" i="47" l="1"/>
  <c r="K35" i="47"/>
  <c r="L36" i="47"/>
  <c r="L35" i="47"/>
  <c r="D36" i="47"/>
  <c r="D35" i="47"/>
  <c r="M36" i="47"/>
  <c r="M35" i="47"/>
  <c r="H36" i="47"/>
  <c r="H35" i="47"/>
  <c r="I35" i="47"/>
  <c r="I36" i="47"/>
  <c r="I37" i="47" s="1"/>
  <c r="J8" i="48" s="1"/>
  <c r="C37" i="47"/>
  <c r="D8" i="48" s="1"/>
  <c r="N67" i="28"/>
  <c r="M67" i="28"/>
  <c r="L67" i="28"/>
  <c r="K67" i="28"/>
  <c r="J67" i="28"/>
  <c r="I67" i="28"/>
  <c r="H67" i="28"/>
  <c r="G67" i="28"/>
  <c r="F67" i="28"/>
  <c r="E67" i="28"/>
  <c r="H63" i="28"/>
  <c r="D67" i="28"/>
  <c r="D52" i="28"/>
  <c r="D60" i="28" s="1"/>
  <c r="D59" i="28"/>
  <c r="D50" i="28"/>
  <c r="D58" i="28" s="1"/>
  <c r="D8" i="23"/>
  <c r="E54" i="28" s="1"/>
  <c r="G11" i="20"/>
  <c r="G11" i="46"/>
  <c r="D9" i="14"/>
  <c r="E9" i="14" s="1"/>
  <c r="N91" i="29"/>
  <c r="M91" i="29"/>
  <c r="L91" i="29"/>
  <c r="K91" i="29"/>
  <c r="J91" i="29"/>
  <c r="I91" i="29"/>
  <c r="H91" i="29"/>
  <c r="G91" i="29"/>
  <c r="F91" i="29"/>
  <c r="N90" i="29"/>
  <c r="L90" i="29"/>
  <c r="K90" i="29"/>
  <c r="J90" i="29"/>
  <c r="I90" i="29"/>
  <c r="H90" i="29"/>
  <c r="G90" i="29"/>
  <c r="F90" i="29"/>
  <c r="E90" i="29"/>
  <c r="N89" i="29"/>
  <c r="M89" i="29"/>
  <c r="L89" i="29"/>
  <c r="K89" i="29"/>
  <c r="J89" i="29"/>
  <c r="I89" i="29"/>
  <c r="H89" i="29"/>
  <c r="G89" i="29"/>
  <c r="F89" i="29"/>
  <c r="E89" i="29"/>
  <c r="N88" i="29"/>
  <c r="M88" i="29"/>
  <c r="L88" i="29"/>
  <c r="K88" i="29"/>
  <c r="J88" i="29"/>
  <c r="I88" i="29"/>
  <c r="H88" i="29"/>
  <c r="G88" i="29"/>
  <c r="F88" i="29"/>
  <c r="E88" i="29"/>
  <c r="N87" i="29"/>
  <c r="M87" i="29"/>
  <c r="L87" i="29"/>
  <c r="K87" i="29"/>
  <c r="J87" i="29"/>
  <c r="I87" i="29"/>
  <c r="H87" i="29"/>
  <c r="G87" i="29"/>
  <c r="F87" i="29"/>
  <c r="E87" i="29"/>
  <c r="N84" i="29"/>
  <c r="N66" i="28" s="1"/>
  <c r="K84" i="29"/>
  <c r="K66" i="28" s="1"/>
  <c r="J84" i="29"/>
  <c r="J66" i="28" s="1"/>
  <c r="G84" i="29"/>
  <c r="G66" i="28" s="1"/>
  <c r="N83" i="29"/>
  <c r="N62" i="28" s="1"/>
  <c r="M83" i="29"/>
  <c r="M62" i="28" s="1"/>
  <c r="L83" i="29"/>
  <c r="L62" i="28" s="1"/>
  <c r="K83" i="29"/>
  <c r="K62" i="28" s="1"/>
  <c r="J83" i="29"/>
  <c r="J62" i="28" s="1"/>
  <c r="H83" i="29"/>
  <c r="H62" i="28" s="1"/>
  <c r="G83" i="29"/>
  <c r="G62" i="28" s="1"/>
  <c r="N82" i="29"/>
  <c r="N63" i="28" s="1"/>
  <c r="L82" i="29"/>
  <c r="L63" i="28" s="1"/>
  <c r="K82" i="29"/>
  <c r="K63" i="28" s="1"/>
  <c r="H82" i="29"/>
  <c r="G82" i="29"/>
  <c r="G63" i="28" s="1"/>
  <c r="E82" i="29"/>
  <c r="E63" i="28" s="1"/>
  <c r="N79" i="29"/>
  <c r="J79" i="29"/>
  <c r="E79" i="29"/>
  <c r="N77" i="29"/>
  <c r="N64" i="28" s="1"/>
  <c r="K77" i="29"/>
  <c r="K64" i="28" s="1"/>
  <c r="N76" i="29"/>
  <c r="N65" i="28" s="1"/>
  <c r="M76" i="29"/>
  <c r="M65" i="28" s="1"/>
  <c r="L76" i="29"/>
  <c r="L65" i="28" s="1"/>
  <c r="K76" i="29"/>
  <c r="K65" i="28" s="1"/>
  <c r="J76" i="29"/>
  <c r="J65" i="28" s="1"/>
  <c r="I76" i="29"/>
  <c r="I65" i="28" s="1"/>
  <c r="H76" i="29"/>
  <c r="H65" i="28" s="1"/>
  <c r="G76" i="29"/>
  <c r="G65" i="28" s="1"/>
  <c r="D14" i="28"/>
  <c r="D7" i="28"/>
  <c r="D5" i="28"/>
  <c r="M37" i="47" l="1"/>
  <c r="I45" i="47"/>
  <c r="J8" i="28"/>
  <c r="C45" i="47"/>
  <c r="J10" i="47" s="1"/>
  <c r="J34" i="47" s="1"/>
  <c r="J36" i="47" s="1"/>
  <c r="D8" i="28"/>
  <c r="L37" i="47"/>
  <c r="M8" i="48" s="1"/>
  <c r="H37" i="47"/>
  <c r="I8" i="48" s="1"/>
  <c r="D37" i="47"/>
  <c r="E8" i="48" s="1"/>
  <c r="K37" i="47"/>
  <c r="L8" i="48" s="1"/>
  <c r="M69" i="32"/>
  <c r="L69" i="32"/>
  <c r="K69" i="32"/>
  <c r="J69" i="32"/>
  <c r="I69" i="32"/>
  <c r="H69" i="32"/>
  <c r="G69" i="32"/>
  <c r="F69" i="32"/>
  <c r="E69" i="32"/>
  <c r="D69" i="32"/>
  <c r="C69" i="32"/>
  <c r="I45" i="32"/>
  <c r="H27" i="32"/>
  <c r="D27" i="32"/>
  <c r="D9" i="32"/>
  <c r="D83" i="32"/>
  <c r="C67" i="28" s="1"/>
  <c r="B98" i="18"/>
  <c r="B97" i="18"/>
  <c r="N8" i="28" l="1"/>
  <c r="N8" i="48"/>
  <c r="M45" i="47"/>
  <c r="J35" i="47"/>
  <c r="J37" i="47" s="1"/>
  <c r="K8" i="48" s="1"/>
  <c r="H45" i="47"/>
  <c r="I8" i="28"/>
  <c r="L45" i="47"/>
  <c r="M8" i="28"/>
  <c r="K45" i="47"/>
  <c r="L8" i="28"/>
  <c r="D45" i="47"/>
  <c r="E8" i="28"/>
  <c r="C68" i="32"/>
  <c r="E33" i="37"/>
  <c r="D33" i="37"/>
  <c r="C33" i="37"/>
  <c r="B33" i="37"/>
  <c r="K32" i="37"/>
  <c r="J32" i="37"/>
  <c r="I32" i="37"/>
  <c r="H32" i="37"/>
  <c r="G32" i="37"/>
  <c r="F32" i="37"/>
  <c r="E32" i="37"/>
  <c r="D32" i="37"/>
  <c r="C32" i="37"/>
  <c r="B32" i="37"/>
  <c r="B31" i="37"/>
  <c r="F20" i="37"/>
  <c r="F33" i="37" s="1"/>
  <c r="C20" i="37"/>
  <c r="L9" i="37"/>
  <c r="K9" i="37"/>
  <c r="J9" i="37"/>
  <c r="I9" i="37"/>
  <c r="H9" i="37"/>
  <c r="G9" i="37"/>
  <c r="F9" i="37"/>
  <c r="E9" i="37"/>
  <c r="D9" i="37"/>
  <c r="B9" i="37"/>
  <c r="M9" i="37" s="1"/>
  <c r="C7" i="37"/>
  <c r="L5" i="37"/>
  <c r="K5" i="37"/>
  <c r="J5" i="37"/>
  <c r="I5" i="37"/>
  <c r="H5" i="37"/>
  <c r="G5" i="37"/>
  <c r="F5" i="37"/>
  <c r="E5" i="37"/>
  <c r="D5" i="37"/>
  <c r="L4" i="37"/>
  <c r="K4" i="37"/>
  <c r="J4" i="37"/>
  <c r="I4" i="37"/>
  <c r="H4" i="37"/>
  <c r="G4" i="37"/>
  <c r="F4" i="37"/>
  <c r="E4" i="37"/>
  <c r="D4" i="37"/>
  <c r="C4" i="37"/>
  <c r="E29" i="31"/>
  <c r="D29" i="31"/>
  <c r="C29" i="31"/>
  <c r="E28" i="31"/>
  <c r="D28" i="31"/>
  <c r="C28" i="31"/>
  <c r="E27" i="31"/>
  <c r="D27" i="31"/>
  <c r="C27" i="31"/>
  <c r="E26" i="31"/>
  <c r="D26" i="31"/>
  <c r="C26" i="31"/>
  <c r="E25" i="31"/>
  <c r="D25" i="31"/>
  <c r="C25" i="31"/>
  <c r="E24" i="31"/>
  <c r="D24" i="31"/>
  <c r="C24" i="31"/>
  <c r="E23" i="31"/>
  <c r="D23" i="31"/>
  <c r="C23" i="31"/>
  <c r="E22" i="31"/>
  <c r="D22" i="31"/>
  <c r="C22" i="31"/>
  <c r="E21" i="31"/>
  <c r="D21" i="31"/>
  <c r="C21" i="31"/>
  <c r="E20" i="31"/>
  <c r="D20" i="31"/>
  <c r="C20" i="31"/>
  <c r="E19" i="31"/>
  <c r="D19" i="31"/>
  <c r="C19" i="31"/>
  <c r="E18" i="31"/>
  <c r="D18" i="31"/>
  <c r="C18" i="31"/>
  <c r="E17" i="31"/>
  <c r="D17" i="31"/>
  <c r="C17" i="31"/>
  <c r="E16" i="31"/>
  <c r="D16" i="31"/>
  <c r="C16" i="31"/>
  <c r="E15" i="31"/>
  <c r="D15" i="31"/>
  <c r="C15" i="31"/>
  <c r="E14" i="31"/>
  <c r="D14" i="31"/>
  <c r="C14" i="31"/>
  <c r="E13" i="31"/>
  <c r="D13" i="31"/>
  <c r="C13" i="31"/>
  <c r="E12" i="31"/>
  <c r="D12" i="31"/>
  <c r="C12" i="31"/>
  <c r="E11" i="31"/>
  <c r="D11" i="31"/>
  <c r="C11" i="31"/>
  <c r="E10" i="31"/>
  <c r="D10" i="31"/>
  <c r="C10" i="31"/>
  <c r="E9" i="31"/>
  <c r="D9" i="31"/>
  <c r="C9" i="31"/>
  <c r="E8" i="31"/>
  <c r="D8" i="31"/>
  <c r="C8" i="31"/>
  <c r="E7" i="31"/>
  <c r="D7" i="31"/>
  <c r="C7" i="31"/>
  <c r="E6" i="31"/>
  <c r="D6" i="31"/>
  <c r="C6" i="31"/>
  <c r="E5" i="31"/>
  <c r="D5" i="31"/>
  <c r="C5" i="31"/>
  <c r="E24" i="34"/>
  <c r="E21" i="34"/>
  <c r="E16" i="34"/>
  <c r="D16" i="34"/>
  <c r="G15" i="34"/>
  <c r="F19" i="34" s="1"/>
  <c r="F15" i="34"/>
  <c r="F16" i="34" s="1"/>
  <c r="G16" i="34" s="1"/>
  <c r="E12" i="34"/>
  <c r="D12" i="34"/>
  <c r="F11" i="34"/>
  <c r="G11" i="34" s="1"/>
  <c r="E8" i="34"/>
  <c r="D8" i="34"/>
  <c r="G7" i="34"/>
  <c r="F7" i="34"/>
  <c r="F8" i="34" s="1"/>
  <c r="G8" i="34" s="1"/>
  <c r="D6" i="36"/>
  <c r="D5" i="36"/>
  <c r="C5" i="36"/>
  <c r="J5" i="36" s="1"/>
  <c r="J43" i="28" s="1"/>
  <c r="D16" i="15"/>
  <c r="D90" i="29"/>
  <c r="D15" i="15" s="1"/>
  <c r="D89" i="29"/>
  <c r="D88" i="29"/>
  <c r="D87" i="29"/>
  <c r="D12" i="15" s="1"/>
  <c r="D84" i="29"/>
  <c r="D66" i="28" s="1"/>
  <c r="D55" i="28" s="1"/>
  <c r="D83" i="29"/>
  <c r="D62" i="28" s="1"/>
  <c r="D82" i="29"/>
  <c r="D63" i="28" s="1"/>
  <c r="D79" i="29"/>
  <c r="D77" i="29"/>
  <c r="D64" i="28" s="1"/>
  <c r="N92" i="29"/>
  <c r="D76" i="29"/>
  <c r="D65" i="28" s="1"/>
  <c r="M73" i="29"/>
  <c r="M9" i="15" s="1"/>
  <c r="M90" i="29"/>
  <c r="M71" i="29"/>
  <c r="M70" i="29"/>
  <c r="M79" i="29" s="1"/>
  <c r="M82" i="29"/>
  <c r="M63" i="28" s="1"/>
  <c r="M66" i="29"/>
  <c r="M65" i="29"/>
  <c r="M77" i="29" s="1"/>
  <c r="M64" i="28" s="1"/>
  <c r="M64" i="29"/>
  <c r="M84" i="29" s="1"/>
  <c r="M66" i="28" s="1"/>
  <c r="M55" i="28" s="1"/>
  <c r="L64" i="29"/>
  <c r="L84" i="29" s="1"/>
  <c r="L66" i="28" s="1"/>
  <c r="L55" i="28" s="1"/>
  <c r="L62" i="29"/>
  <c r="L61" i="29"/>
  <c r="L59" i="29"/>
  <c r="L79" i="29" s="1"/>
  <c r="K59" i="29"/>
  <c r="K79" i="29" s="1"/>
  <c r="L58" i="29"/>
  <c r="L78" i="29" s="1"/>
  <c r="H55" i="29"/>
  <c r="I54" i="29"/>
  <c r="J53" i="29"/>
  <c r="J77" i="29" s="1"/>
  <c r="J64" i="28" s="1"/>
  <c r="I52" i="29"/>
  <c r="I51" i="29"/>
  <c r="I50" i="29"/>
  <c r="J49" i="29"/>
  <c r="J82" i="29" s="1"/>
  <c r="J63" i="28" s="1"/>
  <c r="I49" i="29"/>
  <c r="I82" i="29" s="1"/>
  <c r="I63" i="28" s="1"/>
  <c r="I48" i="29"/>
  <c r="I47" i="29"/>
  <c r="I79" i="29" s="1"/>
  <c r="I46" i="29"/>
  <c r="I45" i="29"/>
  <c r="I44" i="29"/>
  <c r="H44" i="29"/>
  <c r="I43" i="29"/>
  <c r="I84" i="29" s="1"/>
  <c r="I66" i="28" s="1"/>
  <c r="I55" i="28" s="1"/>
  <c r="I42" i="29"/>
  <c r="J40" i="29"/>
  <c r="I18" i="19" s="1"/>
  <c r="I40" i="29"/>
  <c r="C39" i="29"/>
  <c r="C48" i="20" s="1"/>
  <c r="D48" i="20" s="1"/>
  <c r="H38" i="29"/>
  <c r="H84" i="29" s="1"/>
  <c r="H66" i="28" s="1"/>
  <c r="H55" i="28" s="1"/>
  <c r="H37" i="29"/>
  <c r="H77" i="29" s="1"/>
  <c r="H64" i="28" s="1"/>
  <c r="H36" i="29"/>
  <c r="H79" i="29" s="1"/>
  <c r="H35" i="29"/>
  <c r="G31" i="29"/>
  <c r="F31" i="29"/>
  <c r="G30" i="29"/>
  <c r="G79" i="29" s="1"/>
  <c r="F30" i="29"/>
  <c r="F79" i="29" s="1"/>
  <c r="G29" i="29"/>
  <c r="G78" i="29" s="1"/>
  <c r="F29" i="29"/>
  <c r="F78" i="29" s="1"/>
  <c r="F28" i="29"/>
  <c r="F84" i="29" s="1"/>
  <c r="F66" i="28" s="1"/>
  <c r="F55" i="28" s="1"/>
  <c r="G27" i="29"/>
  <c r="F27" i="29"/>
  <c r="F77" i="29" s="1"/>
  <c r="F64" i="28" s="1"/>
  <c r="F20" i="29"/>
  <c r="F82" i="29" s="1"/>
  <c r="F63" i="28" s="1"/>
  <c r="E19" i="29"/>
  <c r="F18" i="29"/>
  <c r="E17" i="29"/>
  <c r="E91" i="29"/>
  <c r="E16" i="15" s="1"/>
  <c r="E12" i="29"/>
  <c r="E11" i="29"/>
  <c r="E10" i="29"/>
  <c r="E9" i="29"/>
  <c r="E8" i="29"/>
  <c r="F7" i="29"/>
  <c r="E7" i="29"/>
  <c r="E83" i="29" s="1"/>
  <c r="E62" i="28" s="1"/>
  <c r="F4" i="29"/>
  <c r="G4" i="29" s="1"/>
  <c r="H4" i="29" s="1"/>
  <c r="I4" i="29" s="1"/>
  <c r="J4" i="29" s="1"/>
  <c r="K4" i="29" s="1"/>
  <c r="L4" i="29" s="1"/>
  <c r="M4" i="29" s="1"/>
  <c r="N4" i="29" s="1"/>
  <c r="C85" i="32"/>
  <c r="C84" i="32"/>
  <c r="C83" i="32"/>
  <c r="L75" i="32"/>
  <c r="K75" i="32"/>
  <c r="J75" i="32"/>
  <c r="I75" i="32"/>
  <c r="H75" i="32"/>
  <c r="G75" i="32"/>
  <c r="F75" i="32"/>
  <c r="E75" i="32"/>
  <c r="D75" i="32"/>
  <c r="B75" i="32"/>
  <c r="L74" i="32"/>
  <c r="K74" i="32"/>
  <c r="J74" i="32"/>
  <c r="I74" i="32"/>
  <c r="H74" i="32"/>
  <c r="G74" i="32"/>
  <c r="F74" i="32"/>
  <c r="E74" i="32"/>
  <c r="D74" i="32"/>
  <c r="B74" i="32"/>
  <c r="C73" i="32"/>
  <c r="M68" i="32"/>
  <c r="L68" i="32"/>
  <c r="K68" i="32"/>
  <c r="J68" i="32"/>
  <c r="I68" i="32"/>
  <c r="H68" i="32"/>
  <c r="G68" i="32"/>
  <c r="F68" i="32"/>
  <c r="E68" i="32"/>
  <c r="D68" i="32"/>
  <c r="M67" i="32"/>
  <c r="L67" i="32"/>
  <c r="K67" i="32"/>
  <c r="J67" i="32"/>
  <c r="I67" i="32"/>
  <c r="H67" i="32"/>
  <c r="G67" i="32"/>
  <c r="F67" i="32"/>
  <c r="E67" i="32"/>
  <c r="D67" i="32"/>
  <c r="C65" i="32"/>
  <c r="C64" i="32"/>
  <c r="C63" i="32"/>
  <c r="C62" i="32"/>
  <c r="I60" i="32"/>
  <c r="H60" i="32"/>
  <c r="G60" i="32"/>
  <c r="F60" i="32"/>
  <c r="E60" i="32"/>
  <c r="D60" i="32"/>
  <c r="C60" i="32"/>
  <c r="H59" i="32"/>
  <c r="G59" i="32"/>
  <c r="F59" i="32"/>
  <c r="E59" i="32"/>
  <c r="D59" i="32"/>
  <c r="C59" i="32"/>
  <c r="H58" i="32"/>
  <c r="G58" i="32"/>
  <c r="F58" i="32"/>
  <c r="E58" i="32"/>
  <c r="D58" i="32"/>
  <c r="C58" i="32"/>
  <c r="M57" i="32"/>
  <c r="L57" i="32"/>
  <c r="K57" i="32"/>
  <c r="J57" i="32"/>
  <c r="I57" i="32"/>
  <c r="H57" i="32"/>
  <c r="G57" i="32"/>
  <c r="F57" i="32"/>
  <c r="E57" i="32"/>
  <c r="D57" i="32"/>
  <c r="M56" i="32"/>
  <c r="L56" i="32"/>
  <c r="K56" i="32"/>
  <c r="J56" i="32"/>
  <c r="I56" i="32"/>
  <c r="H56" i="32"/>
  <c r="G56" i="32"/>
  <c r="F56" i="32"/>
  <c r="E56" i="32"/>
  <c r="D56" i="32"/>
  <c r="C53" i="32"/>
  <c r="C50" i="32"/>
  <c r="M47" i="32"/>
  <c r="L47" i="32"/>
  <c r="K47" i="32"/>
  <c r="J47" i="32"/>
  <c r="I47" i="32"/>
  <c r="H47" i="32"/>
  <c r="G47" i="32"/>
  <c r="F47" i="32"/>
  <c r="E47" i="32"/>
  <c r="D47" i="32"/>
  <c r="C47" i="32"/>
  <c r="J46" i="32"/>
  <c r="J60" i="32" s="1"/>
  <c r="I46" i="32"/>
  <c r="H46" i="32"/>
  <c r="G46" i="32"/>
  <c r="F46" i="32"/>
  <c r="E46" i="32"/>
  <c r="D46" i="32"/>
  <c r="H45" i="32"/>
  <c r="G45" i="32"/>
  <c r="F45" i="32"/>
  <c r="E45" i="32"/>
  <c r="D45" i="32"/>
  <c r="G42" i="32"/>
  <c r="F42" i="32"/>
  <c r="E42" i="32"/>
  <c r="D42" i="32"/>
  <c r="C42" i="32"/>
  <c r="G41" i="32"/>
  <c r="F41" i="32"/>
  <c r="E41" i="32"/>
  <c r="D41" i="32"/>
  <c r="C41" i="32"/>
  <c r="G40" i="32"/>
  <c r="F40" i="32"/>
  <c r="E40" i="32"/>
  <c r="D40" i="32"/>
  <c r="C40" i="32"/>
  <c r="M39" i="32"/>
  <c r="L39" i="32"/>
  <c r="K39" i="32"/>
  <c r="J39" i="32"/>
  <c r="I39" i="32"/>
  <c r="H39" i="32"/>
  <c r="G39" i="32"/>
  <c r="F39" i="32"/>
  <c r="E39" i="32"/>
  <c r="D39" i="32"/>
  <c r="M38" i="32"/>
  <c r="L38" i="32"/>
  <c r="K38" i="32"/>
  <c r="J38" i="32"/>
  <c r="I38" i="32"/>
  <c r="H38" i="32"/>
  <c r="G38" i="32"/>
  <c r="F38" i="32"/>
  <c r="E38" i="32"/>
  <c r="D38" i="32"/>
  <c r="C35" i="32"/>
  <c r="C32" i="32"/>
  <c r="M29" i="32"/>
  <c r="L29" i="32"/>
  <c r="K29" i="32"/>
  <c r="J29" i="32"/>
  <c r="I29" i="32"/>
  <c r="H29" i="32"/>
  <c r="G29" i="32"/>
  <c r="F29" i="32"/>
  <c r="E29" i="32"/>
  <c r="D29" i="32"/>
  <c r="C29" i="32"/>
  <c r="I28" i="32"/>
  <c r="I42" i="32" s="1"/>
  <c r="H28" i="32"/>
  <c r="H42" i="32" s="1"/>
  <c r="G28" i="32"/>
  <c r="F28" i="32"/>
  <c r="E28" i="32"/>
  <c r="D28" i="32"/>
  <c r="G27" i="32"/>
  <c r="F27" i="32"/>
  <c r="E27" i="32"/>
  <c r="C24" i="32"/>
  <c r="C23" i="32"/>
  <c r="D22" i="32"/>
  <c r="D62" i="32" s="1"/>
  <c r="C22" i="32"/>
  <c r="M21" i="32"/>
  <c r="L21" i="32"/>
  <c r="K21" i="32"/>
  <c r="J21" i="32"/>
  <c r="I21" i="32"/>
  <c r="H21" i="32"/>
  <c r="G21" i="32"/>
  <c r="F21" i="32"/>
  <c r="E21" i="32"/>
  <c r="D21" i="32"/>
  <c r="M20" i="32"/>
  <c r="L20" i="32"/>
  <c r="K20" i="32"/>
  <c r="J20" i="32"/>
  <c r="I20" i="32"/>
  <c r="H20" i="32"/>
  <c r="G20" i="32"/>
  <c r="F20" i="32"/>
  <c r="E20" i="32"/>
  <c r="D20" i="32"/>
  <c r="C17" i="32"/>
  <c r="C14" i="32"/>
  <c r="M11" i="32"/>
  <c r="L11" i="32"/>
  <c r="K11" i="32"/>
  <c r="J11" i="32"/>
  <c r="I11" i="32"/>
  <c r="H11" i="32"/>
  <c r="G11" i="32"/>
  <c r="F11" i="32"/>
  <c r="E11" i="32"/>
  <c r="D11" i="32"/>
  <c r="D10" i="32"/>
  <c r="D24" i="32" s="1"/>
  <c r="D64" i="32" s="1"/>
  <c r="F9" i="32"/>
  <c r="F22" i="32" s="1"/>
  <c r="F62" i="32" s="1"/>
  <c r="E9" i="32"/>
  <c r="E22" i="32" s="1"/>
  <c r="E62" i="32" s="1"/>
  <c r="D23" i="32"/>
  <c r="D63" i="32" s="1"/>
  <c r="M5" i="32"/>
  <c r="L5" i="32"/>
  <c r="K5" i="32"/>
  <c r="J5" i="32"/>
  <c r="I5" i="32"/>
  <c r="H5" i="32"/>
  <c r="G5" i="32"/>
  <c r="F5" i="32"/>
  <c r="E5" i="32"/>
  <c r="M4" i="32"/>
  <c r="L4" i="32"/>
  <c r="K4" i="32"/>
  <c r="J4" i="32"/>
  <c r="I4" i="32"/>
  <c r="H4" i="32"/>
  <c r="G4" i="32"/>
  <c r="F4" i="32"/>
  <c r="E4" i="32"/>
  <c r="D4" i="32"/>
  <c r="D109" i="18"/>
  <c r="D108" i="18"/>
  <c r="C108" i="18" s="1"/>
  <c r="I47" i="18" s="1"/>
  <c r="J47" i="18" s="1"/>
  <c r="D107" i="18"/>
  <c r="C107" i="18" s="1"/>
  <c r="H28" i="18" s="1"/>
  <c r="D106" i="18"/>
  <c r="E98" i="18"/>
  <c r="F98" i="18" s="1"/>
  <c r="G98" i="18" s="1"/>
  <c r="H98" i="18" s="1"/>
  <c r="I98" i="18" s="1"/>
  <c r="J98" i="18" s="1"/>
  <c r="K98" i="18" s="1"/>
  <c r="L98" i="18" s="1"/>
  <c r="D98" i="18"/>
  <c r="K97" i="18"/>
  <c r="L97" i="18" s="1"/>
  <c r="G97" i="18"/>
  <c r="H97" i="18" s="1"/>
  <c r="I97" i="18" s="1"/>
  <c r="J97" i="18" s="1"/>
  <c r="F97" i="18"/>
  <c r="E97" i="18"/>
  <c r="D97" i="18"/>
  <c r="C86" i="18"/>
  <c r="C82" i="18"/>
  <c r="D81" i="18"/>
  <c r="E81" i="18" s="1"/>
  <c r="F81" i="18" s="1"/>
  <c r="G81" i="18" s="1"/>
  <c r="H81" i="18" s="1"/>
  <c r="I81" i="18" s="1"/>
  <c r="J81" i="18" s="1"/>
  <c r="K81" i="18" s="1"/>
  <c r="L81" i="18" s="1"/>
  <c r="M81" i="18" s="1"/>
  <c r="C80" i="18"/>
  <c r="C74" i="18"/>
  <c r="C71" i="18"/>
  <c r="F67" i="18"/>
  <c r="D67" i="18"/>
  <c r="F66" i="18"/>
  <c r="D66" i="18"/>
  <c r="C63" i="18"/>
  <c r="E62" i="18"/>
  <c r="F62" i="18" s="1"/>
  <c r="G62" i="18" s="1"/>
  <c r="H62" i="18" s="1"/>
  <c r="I62" i="18" s="1"/>
  <c r="J62" i="18" s="1"/>
  <c r="K62" i="18" s="1"/>
  <c r="L62" i="18" s="1"/>
  <c r="M62" i="18" s="1"/>
  <c r="D62" i="18"/>
  <c r="C55" i="18"/>
  <c r="C61" i="18" s="1"/>
  <c r="C52" i="18"/>
  <c r="D48" i="18"/>
  <c r="E48" i="18" s="1"/>
  <c r="D47" i="18"/>
  <c r="C44" i="18"/>
  <c r="G43" i="18"/>
  <c r="H43" i="18" s="1"/>
  <c r="I43" i="18" s="1"/>
  <c r="J43" i="18" s="1"/>
  <c r="K43" i="18" s="1"/>
  <c r="L43" i="18" s="1"/>
  <c r="M43" i="18" s="1"/>
  <c r="E43" i="18"/>
  <c r="F43" i="18" s="1"/>
  <c r="D43" i="18"/>
  <c r="C36" i="18"/>
  <c r="C42" i="18" s="1"/>
  <c r="C33" i="18"/>
  <c r="C30" i="18"/>
  <c r="C41" i="18" s="1"/>
  <c r="D29" i="18"/>
  <c r="E29" i="18" s="1"/>
  <c r="D28" i="18"/>
  <c r="C25" i="18"/>
  <c r="D24" i="18"/>
  <c r="C22" i="18"/>
  <c r="C14" i="18"/>
  <c r="D10" i="18"/>
  <c r="D9" i="18"/>
  <c r="G5" i="18"/>
  <c r="H5" i="18" s="1"/>
  <c r="I5" i="18" s="1"/>
  <c r="J5" i="18" s="1"/>
  <c r="K5" i="18" s="1"/>
  <c r="L5" i="18" s="1"/>
  <c r="M5" i="18" s="1"/>
  <c r="E5" i="18"/>
  <c r="F5" i="18" s="1"/>
  <c r="E4" i="18"/>
  <c r="D4" i="18"/>
  <c r="D36" i="23"/>
  <c r="B24" i="23" s="1"/>
  <c r="L25" i="23"/>
  <c r="K25" i="23"/>
  <c r="J25" i="23"/>
  <c r="I25" i="23"/>
  <c r="H25" i="23"/>
  <c r="G25" i="23"/>
  <c r="F25" i="23"/>
  <c r="E25" i="23"/>
  <c r="D25" i="23"/>
  <c r="B25" i="23"/>
  <c r="L24" i="23"/>
  <c r="K24" i="23"/>
  <c r="J24" i="23"/>
  <c r="I24" i="23"/>
  <c r="H24" i="23"/>
  <c r="G24" i="23"/>
  <c r="F24" i="23"/>
  <c r="E24" i="23"/>
  <c r="D24" i="23"/>
  <c r="C11" i="23"/>
  <c r="L11" i="23" s="1"/>
  <c r="M10" i="23"/>
  <c r="L10" i="23"/>
  <c r="K10" i="23"/>
  <c r="J10" i="23"/>
  <c r="I10" i="23"/>
  <c r="H10" i="23"/>
  <c r="G10" i="23"/>
  <c r="F10" i="23"/>
  <c r="E10" i="23"/>
  <c r="D10" i="23"/>
  <c r="C10" i="23"/>
  <c r="M9" i="23"/>
  <c r="L9" i="23"/>
  <c r="K9" i="23"/>
  <c r="J9" i="23"/>
  <c r="I9" i="23"/>
  <c r="H9" i="23"/>
  <c r="G9" i="23"/>
  <c r="D9" i="23"/>
  <c r="M8" i="23"/>
  <c r="N54" i="28" s="1"/>
  <c r="L8" i="23"/>
  <c r="M54" i="28" s="1"/>
  <c r="K8" i="23"/>
  <c r="L54" i="28" s="1"/>
  <c r="J8" i="23"/>
  <c r="K54" i="28" s="1"/>
  <c r="I8" i="23"/>
  <c r="J54" i="28" s="1"/>
  <c r="H8" i="23"/>
  <c r="I54" i="28" s="1"/>
  <c r="G8" i="23"/>
  <c r="H54" i="28" s="1"/>
  <c r="C8" i="23"/>
  <c r="D54" i="28" s="1"/>
  <c r="M5" i="23"/>
  <c r="L5" i="23"/>
  <c r="K5" i="23"/>
  <c r="J5" i="23"/>
  <c r="I5" i="23"/>
  <c r="H5" i="23"/>
  <c r="G5" i="23"/>
  <c r="F5" i="23"/>
  <c r="E5" i="23"/>
  <c r="M4" i="23"/>
  <c r="L4" i="23"/>
  <c r="K4" i="23"/>
  <c r="J4" i="23"/>
  <c r="I4" i="23"/>
  <c r="H4" i="23"/>
  <c r="G4" i="23"/>
  <c r="F4" i="23"/>
  <c r="E4" i="23"/>
  <c r="D4" i="23"/>
  <c r="D114" i="22"/>
  <c r="B94" i="22" s="1"/>
  <c r="C110" i="22"/>
  <c r="C109" i="22"/>
  <c r="D109" i="22" s="1"/>
  <c r="C108" i="22"/>
  <c r="C107" i="22"/>
  <c r="I45" i="22" s="1"/>
  <c r="C106" i="22"/>
  <c r="C105" i="22"/>
  <c r="D105" i="22" s="1"/>
  <c r="C104" i="22"/>
  <c r="C103" i="22"/>
  <c r="E9" i="22" s="1"/>
  <c r="E95" i="22"/>
  <c r="F95" i="22" s="1"/>
  <c r="G95" i="22" s="1"/>
  <c r="H95" i="22" s="1"/>
  <c r="I95" i="22" s="1"/>
  <c r="J95" i="22" s="1"/>
  <c r="K95" i="22" s="1"/>
  <c r="L95" i="22" s="1"/>
  <c r="D95" i="22"/>
  <c r="B95" i="22"/>
  <c r="E94" i="22"/>
  <c r="F94" i="22" s="1"/>
  <c r="G94" i="22" s="1"/>
  <c r="H94" i="22" s="1"/>
  <c r="I94" i="22" s="1"/>
  <c r="J94" i="22" s="1"/>
  <c r="K94" i="22" s="1"/>
  <c r="L94" i="22" s="1"/>
  <c r="D94" i="22"/>
  <c r="E74" i="22"/>
  <c r="F74" i="22" s="1"/>
  <c r="G74" i="22" s="1"/>
  <c r="H74" i="22" s="1"/>
  <c r="I74" i="22" s="1"/>
  <c r="J74" i="22" s="1"/>
  <c r="K74" i="22" s="1"/>
  <c r="L74" i="22" s="1"/>
  <c r="D74" i="22"/>
  <c r="D73" i="22"/>
  <c r="D78" i="22" s="1"/>
  <c r="C73" i="22"/>
  <c r="C77" i="22" s="1"/>
  <c r="F72" i="22"/>
  <c r="G72" i="22" s="1"/>
  <c r="E72" i="22"/>
  <c r="E73" i="22" s="1"/>
  <c r="D72" i="22"/>
  <c r="D65" i="22"/>
  <c r="E65" i="22" s="1"/>
  <c r="F65" i="22" s="1"/>
  <c r="G65" i="22" s="1"/>
  <c r="H65" i="22" s="1"/>
  <c r="I65" i="22" s="1"/>
  <c r="J65" i="22" s="1"/>
  <c r="K65" i="22" s="1"/>
  <c r="C64" i="22"/>
  <c r="C69" i="22" s="1"/>
  <c r="D63" i="22"/>
  <c r="D64" i="22" s="1"/>
  <c r="L56" i="22"/>
  <c r="M56" i="22" s="1"/>
  <c r="D56" i="22"/>
  <c r="E56" i="22" s="1"/>
  <c r="F56" i="22" s="1"/>
  <c r="G56" i="22" s="1"/>
  <c r="H56" i="22" s="1"/>
  <c r="I56" i="22" s="1"/>
  <c r="C55" i="22"/>
  <c r="C60" i="22" s="1"/>
  <c r="E54" i="22"/>
  <c r="F54" i="22" s="1"/>
  <c r="D54" i="22"/>
  <c r="D55" i="22" s="1"/>
  <c r="K47" i="22"/>
  <c r="L47" i="22" s="1"/>
  <c r="M47" i="22" s="1"/>
  <c r="E47" i="22"/>
  <c r="F47" i="22" s="1"/>
  <c r="G47" i="22" s="1"/>
  <c r="H47" i="22" s="1"/>
  <c r="D47" i="22"/>
  <c r="C46" i="22"/>
  <c r="C51" i="22" s="1"/>
  <c r="D45" i="22"/>
  <c r="D46" i="22" s="1"/>
  <c r="J38" i="22"/>
  <c r="K38" i="22" s="1"/>
  <c r="L38" i="22" s="1"/>
  <c r="M38" i="22" s="1"/>
  <c r="D38" i="22"/>
  <c r="E38" i="22" s="1"/>
  <c r="F38" i="22" s="1"/>
  <c r="G38" i="22" s="1"/>
  <c r="C37" i="22"/>
  <c r="C41" i="22" s="1"/>
  <c r="D36" i="22"/>
  <c r="D37" i="22" s="1"/>
  <c r="H29" i="22"/>
  <c r="I29" i="22" s="1"/>
  <c r="J29" i="22" s="1"/>
  <c r="K29" i="22" s="1"/>
  <c r="L29" i="22" s="1"/>
  <c r="M29" i="22" s="1"/>
  <c r="D29" i="22"/>
  <c r="C28" i="22"/>
  <c r="C33" i="22" s="1"/>
  <c r="D27" i="22"/>
  <c r="E27" i="22" s="1"/>
  <c r="E28" i="22" s="1"/>
  <c r="G20" i="22"/>
  <c r="H20" i="22" s="1"/>
  <c r="I20" i="22" s="1"/>
  <c r="J20" i="22" s="1"/>
  <c r="K20" i="22" s="1"/>
  <c r="L20" i="22" s="1"/>
  <c r="M20" i="22" s="1"/>
  <c r="D20" i="22"/>
  <c r="C19" i="22"/>
  <c r="C23" i="22" s="1"/>
  <c r="D18" i="22"/>
  <c r="D19" i="22" s="1"/>
  <c r="G11" i="22"/>
  <c r="H11" i="22" s="1"/>
  <c r="I11" i="22" s="1"/>
  <c r="J11" i="22" s="1"/>
  <c r="K11" i="22" s="1"/>
  <c r="L11" i="22" s="1"/>
  <c r="M11" i="22" s="1"/>
  <c r="C10" i="22"/>
  <c r="C13" i="22" s="1"/>
  <c r="E5" i="22"/>
  <c r="F5" i="22" s="1"/>
  <c r="G5" i="22" s="1"/>
  <c r="H5" i="22" s="1"/>
  <c r="I5" i="22" s="1"/>
  <c r="J5" i="22" s="1"/>
  <c r="K5" i="22" s="1"/>
  <c r="L5" i="22" s="1"/>
  <c r="M5" i="22" s="1"/>
  <c r="D4" i="22"/>
  <c r="D66" i="22" s="1"/>
  <c r="D67" i="22" s="1"/>
  <c r="D62" i="46"/>
  <c r="C57" i="46"/>
  <c r="I18" i="46" s="1"/>
  <c r="C56" i="46"/>
  <c r="E48" i="46"/>
  <c r="F48" i="46" s="1"/>
  <c r="G48" i="46" s="1"/>
  <c r="H48" i="46" s="1"/>
  <c r="I48" i="46" s="1"/>
  <c r="J48" i="46" s="1"/>
  <c r="K48" i="46" s="1"/>
  <c r="L48" i="46" s="1"/>
  <c r="D48" i="46"/>
  <c r="B48" i="46"/>
  <c r="D47" i="46"/>
  <c r="E47" i="46" s="1"/>
  <c r="F47" i="46" s="1"/>
  <c r="G47" i="46" s="1"/>
  <c r="H47" i="46" s="1"/>
  <c r="I47" i="46" s="1"/>
  <c r="J47" i="46" s="1"/>
  <c r="K47" i="46" s="1"/>
  <c r="L47" i="46" s="1"/>
  <c r="B47" i="46"/>
  <c r="C31" i="46"/>
  <c r="D29" i="46"/>
  <c r="E29" i="46" s="1"/>
  <c r="F29" i="46" s="1"/>
  <c r="G29" i="46" s="1"/>
  <c r="H29" i="46" s="1"/>
  <c r="I29" i="46" s="1"/>
  <c r="J29" i="46" s="1"/>
  <c r="K29" i="46" s="1"/>
  <c r="L29" i="46" s="1"/>
  <c r="E28" i="46"/>
  <c r="D28" i="46"/>
  <c r="F27" i="46"/>
  <c r="F28" i="46" s="1"/>
  <c r="E27" i="46"/>
  <c r="D27" i="46"/>
  <c r="C22" i="46"/>
  <c r="K20" i="46"/>
  <c r="L20" i="46" s="1"/>
  <c r="M20" i="46" s="1"/>
  <c r="D20" i="46"/>
  <c r="E20" i="46" s="1"/>
  <c r="F20" i="46" s="1"/>
  <c r="G20" i="46" s="1"/>
  <c r="H20" i="46" s="1"/>
  <c r="D19" i="46"/>
  <c r="E18" i="46"/>
  <c r="E19" i="46" s="1"/>
  <c r="D18" i="46"/>
  <c r="H11" i="46"/>
  <c r="I11" i="46" s="1"/>
  <c r="J11" i="46" s="1"/>
  <c r="K11" i="46" s="1"/>
  <c r="L11" i="46" s="1"/>
  <c r="M11" i="46" s="1"/>
  <c r="D10" i="46"/>
  <c r="E10" i="46" s="1"/>
  <c r="C10" i="46"/>
  <c r="C13" i="46" s="1"/>
  <c r="D9" i="46"/>
  <c r="G5" i="46"/>
  <c r="H5" i="46" s="1"/>
  <c r="I5" i="46" s="1"/>
  <c r="J5" i="46" s="1"/>
  <c r="K5" i="46" s="1"/>
  <c r="L5" i="46" s="1"/>
  <c r="M5" i="46" s="1"/>
  <c r="F5" i="46"/>
  <c r="E5" i="46"/>
  <c r="D4" i="46"/>
  <c r="D21" i="46" s="1"/>
  <c r="D22" i="46" s="1"/>
  <c r="C47" i="20"/>
  <c r="L39" i="20"/>
  <c r="K39" i="20"/>
  <c r="J39" i="20"/>
  <c r="I39" i="20"/>
  <c r="H39" i="20"/>
  <c r="G39" i="20"/>
  <c r="F39" i="20"/>
  <c r="E39" i="20"/>
  <c r="D39" i="20"/>
  <c r="B39" i="20"/>
  <c r="L38" i="20"/>
  <c r="K38" i="20"/>
  <c r="J38" i="20"/>
  <c r="I38" i="20"/>
  <c r="H38" i="20"/>
  <c r="G38" i="20"/>
  <c r="F38" i="20"/>
  <c r="E38" i="20"/>
  <c r="D38" i="20"/>
  <c r="B38" i="20"/>
  <c r="D26" i="20"/>
  <c r="C26" i="20"/>
  <c r="G24" i="20"/>
  <c r="F24" i="20"/>
  <c r="E24" i="20"/>
  <c r="D24" i="20"/>
  <c r="C24" i="20"/>
  <c r="G23" i="20"/>
  <c r="F23" i="20"/>
  <c r="E23" i="20"/>
  <c r="D23" i="20"/>
  <c r="C23" i="20"/>
  <c r="G22" i="20"/>
  <c r="F22" i="20"/>
  <c r="E22" i="20"/>
  <c r="D22" i="20"/>
  <c r="C22" i="20"/>
  <c r="M21" i="20"/>
  <c r="L21" i="20"/>
  <c r="K21" i="20"/>
  <c r="J21" i="20"/>
  <c r="I21" i="20"/>
  <c r="H21" i="20"/>
  <c r="G21" i="20"/>
  <c r="F21" i="20"/>
  <c r="E21" i="20"/>
  <c r="D21" i="20"/>
  <c r="M20" i="20"/>
  <c r="L20" i="20"/>
  <c r="K20" i="20"/>
  <c r="J20" i="20"/>
  <c r="I20" i="20"/>
  <c r="H20" i="20"/>
  <c r="E20" i="20"/>
  <c r="D20" i="20"/>
  <c r="G19" i="20"/>
  <c r="F19" i="20"/>
  <c r="E19" i="20"/>
  <c r="D19" i="20"/>
  <c r="G18" i="20"/>
  <c r="F18" i="20"/>
  <c r="E18" i="20"/>
  <c r="D18" i="20"/>
  <c r="E15" i="20"/>
  <c r="E28" i="20" s="1"/>
  <c r="D15" i="20"/>
  <c r="D28" i="20" s="1"/>
  <c r="C15" i="20"/>
  <c r="C28" i="20" s="1"/>
  <c r="E14" i="20"/>
  <c r="E27" i="20" s="1"/>
  <c r="D14" i="20"/>
  <c r="D27" i="20" s="1"/>
  <c r="D29" i="20" s="1"/>
  <c r="C14" i="20"/>
  <c r="C27" i="20" s="1"/>
  <c r="C29" i="20" s="1"/>
  <c r="E13" i="20"/>
  <c r="E26" i="20" s="1"/>
  <c r="D13" i="20"/>
  <c r="C13" i="20"/>
  <c r="M12" i="20"/>
  <c r="L12" i="20"/>
  <c r="K12" i="20"/>
  <c r="J12" i="20"/>
  <c r="I12" i="20"/>
  <c r="H12" i="20"/>
  <c r="G12" i="20"/>
  <c r="F12" i="20"/>
  <c r="E12" i="20"/>
  <c r="D12" i="20"/>
  <c r="H11" i="20"/>
  <c r="I11" i="20" s="1"/>
  <c r="J11" i="20" s="1"/>
  <c r="K11" i="20" s="1"/>
  <c r="L11" i="20" s="1"/>
  <c r="M11" i="20" s="1"/>
  <c r="D11" i="20"/>
  <c r="E10" i="20"/>
  <c r="D10" i="20"/>
  <c r="D9" i="20"/>
  <c r="M5" i="20"/>
  <c r="L5" i="20"/>
  <c r="K5" i="20"/>
  <c r="J5" i="20"/>
  <c r="I5" i="20"/>
  <c r="H5" i="20"/>
  <c r="G5" i="20"/>
  <c r="F5" i="20"/>
  <c r="E5" i="20"/>
  <c r="M4" i="20"/>
  <c r="L4" i="20"/>
  <c r="K4" i="20"/>
  <c r="J4" i="20"/>
  <c r="I4" i="20"/>
  <c r="H4" i="20"/>
  <c r="G4" i="20"/>
  <c r="F4" i="20"/>
  <c r="E4" i="20"/>
  <c r="D4" i="20"/>
  <c r="D60" i="26"/>
  <c r="D59" i="26"/>
  <c r="C59" i="26" s="1"/>
  <c r="D58" i="26"/>
  <c r="L50" i="26"/>
  <c r="K50" i="26"/>
  <c r="J50" i="26"/>
  <c r="I50" i="26"/>
  <c r="H50" i="26"/>
  <c r="G50" i="26"/>
  <c r="F50" i="26"/>
  <c r="E50" i="26"/>
  <c r="D50" i="26"/>
  <c r="B50" i="26"/>
  <c r="L49" i="26"/>
  <c r="K49" i="26"/>
  <c r="J49" i="26"/>
  <c r="I49" i="26"/>
  <c r="H49" i="26"/>
  <c r="G49" i="26"/>
  <c r="F49" i="26"/>
  <c r="E49" i="26"/>
  <c r="D49" i="26"/>
  <c r="B49" i="26"/>
  <c r="C48" i="26"/>
  <c r="C40" i="26"/>
  <c r="C39" i="26"/>
  <c r="M35" i="26"/>
  <c r="L35" i="26"/>
  <c r="K35" i="26"/>
  <c r="G35" i="26"/>
  <c r="F35" i="26"/>
  <c r="E35" i="26"/>
  <c r="M29" i="26"/>
  <c r="K29" i="26"/>
  <c r="L52" i="48" s="1"/>
  <c r="L60" i="48" s="1"/>
  <c r="I29" i="26"/>
  <c r="H29" i="26"/>
  <c r="G29" i="26"/>
  <c r="F29" i="26"/>
  <c r="E29" i="26"/>
  <c r="D29" i="26"/>
  <c r="D33" i="26" s="1"/>
  <c r="M25" i="26"/>
  <c r="L25" i="26"/>
  <c r="K25" i="26"/>
  <c r="J25" i="26"/>
  <c r="F25" i="26"/>
  <c r="E25" i="26"/>
  <c r="C24" i="26"/>
  <c r="C34" i="26" s="1"/>
  <c r="M19" i="26"/>
  <c r="L19" i="26"/>
  <c r="K19" i="26"/>
  <c r="J19" i="26"/>
  <c r="I19" i="26"/>
  <c r="G19" i="26"/>
  <c r="F19" i="26"/>
  <c r="E19" i="26"/>
  <c r="D19" i="26"/>
  <c r="M15" i="26"/>
  <c r="L15" i="26"/>
  <c r="K15" i="26"/>
  <c r="J15" i="26"/>
  <c r="I15" i="26"/>
  <c r="H15" i="26"/>
  <c r="M14" i="26"/>
  <c r="M24" i="26" s="1"/>
  <c r="M34" i="26" s="1"/>
  <c r="L14" i="26"/>
  <c r="L24" i="26" s="1"/>
  <c r="L34" i="26" s="1"/>
  <c r="K14" i="26"/>
  <c r="K24" i="26" s="1"/>
  <c r="K34" i="26" s="1"/>
  <c r="J14" i="26"/>
  <c r="J24" i="26" s="1"/>
  <c r="J34" i="26" s="1"/>
  <c r="I14" i="26"/>
  <c r="I24" i="26" s="1"/>
  <c r="I34" i="26" s="1"/>
  <c r="H14" i="26"/>
  <c r="H24" i="26" s="1"/>
  <c r="H34" i="26" s="1"/>
  <c r="G14" i="26"/>
  <c r="G24" i="26" s="1"/>
  <c r="G34" i="26" s="1"/>
  <c r="F14" i="26"/>
  <c r="F24" i="26" s="1"/>
  <c r="F34" i="26" s="1"/>
  <c r="E14" i="26"/>
  <c r="E24" i="26" s="1"/>
  <c r="E34" i="26" s="1"/>
  <c r="D14" i="26"/>
  <c r="D24" i="26" s="1"/>
  <c r="D34" i="26" s="1"/>
  <c r="M9" i="26"/>
  <c r="L9" i="26"/>
  <c r="K9" i="26"/>
  <c r="J9" i="26"/>
  <c r="I9" i="26"/>
  <c r="H9" i="26"/>
  <c r="G9" i="26"/>
  <c r="D9" i="26"/>
  <c r="M5" i="26"/>
  <c r="L5" i="26"/>
  <c r="K5" i="26"/>
  <c r="J5" i="26"/>
  <c r="I5" i="26"/>
  <c r="H5" i="26"/>
  <c r="G5" i="26"/>
  <c r="F5" i="26"/>
  <c r="E5" i="26"/>
  <c r="M4" i="26"/>
  <c r="L4" i="26"/>
  <c r="K4" i="26"/>
  <c r="J4" i="26"/>
  <c r="I4" i="26"/>
  <c r="H4" i="26"/>
  <c r="G4" i="26"/>
  <c r="F4" i="26"/>
  <c r="E4" i="26"/>
  <c r="D4" i="26"/>
  <c r="D55" i="19"/>
  <c r="C55" i="19" s="1"/>
  <c r="D54" i="19"/>
  <c r="B36" i="19"/>
  <c r="B35" i="19"/>
  <c r="C35" i="19"/>
  <c r="C32" i="19"/>
  <c r="D29" i="19"/>
  <c r="E28" i="19"/>
  <c r="M27" i="19"/>
  <c r="J27" i="19"/>
  <c r="I27" i="19"/>
  <c r="H27" i="19"/>
  <c r="G27" i="19"/>
  <c r="F27" i="19"/>
  <c r="E27" i="19"/>
  <c r="D27" i="19"/>
  <c r="D31" i="19" s="1"/>
  <c r="D20" i="19"/>
  <c r="L19" i="19"/>
  <c r="M19" i="19" s="1"/>
  <c r="F19" i="19"/>
  <c r="F20" i="19" s="1"/>
  <c r="E19" i="19"/>
  <c r="M18" i="19"/>
  <c r="N51" i="28" s="1"/>
  <c r="L18" i="19"/>
  <c r="K18" i="19"/>
  <c r="J18" i="19"/>
  <c r="G18" i="19"/>
  <c r="F18" i="19"/>
  <c r="G51" i="28" s="1"/>
  <c r="E18" i="19"/>
  <c r="F51" i="28" s="1"/>
  <c r="D18" i="19"/>
  <c r="F5" i="19"/>
  <c r="G5" i="19" s="1"/>
  <c r="H5" i="19" s="1"/>
  <c r="I5" i="19" s="1"/>
  <c r="J5" i="19" s="1"/>
  <c r="K5" i="19" s="1"/>
  <c r="L5" i="19" s="1"/>
  <c r="M5" i="19" s="1"/>
  <c r="E5" i="19"/>
  <c r="D4" i="19"/>
  <c r="E4" i="19" s="1"/>
  <c r="E14" i="19" s="1"/>
  <c r="D81" i="14"/>
  <c r="C81" i="14" s="1"/>
  <c r="D79" i="14"/>
  <c r="C78" i="14"/>
  <c r="D11" i="14" s="1"/>
  <c r="L70" i="14"/>
  <c r="K70" i="14"/>
  <c r="J70" i="14"/>
  <c r="I70" i="14"/>
  <c r="H70" i="14"/>
  <c r="G70" i="14"/>
  <c r="F70" i="14"/>
  <c r="E70" i="14"/>
  <c r="D70" i="14"/>
  <c r="B70" i="14"/>
  <c r="L69" i="14"/>
  <c r="K69" i="14"/>
  <c r="J69" i="14"/>
  <c r="I69" i="14"/>
  <c r="H69" i="14"/>
  <c r="G69" i="14"/>
  <c r="F69" i="14"/>
  <c r="E69" i="14"/>
  <c r="D69" i="14"/>
  <c r="B69" i="14"/>
  <c r="C68" i="14"/>
  <c r="C60" i="14"/>
  <c r="C59" i="14"/>
  <c r="M55" i="14"/>
  <c r="I55" i="14"/>
  <c r="H55" i="14"/>
  <c r="G55" i="14"/>
  <c r="F55" i="14"/>
  <c r="E55" i="14"/>
  <c r="M49" i="14"/>
  <c r="L49" i="14"/>
  <c r="I49" i="14"/>
  <c r="H49" i="14"/>
  <c r="G49" i="14"/>
  <c r="F49" i="14"/>
  <c r="E49" i="14"/>
  <c r="D49" i="14"/>
  <c r="E53" i="14" s="1"/>
  <c r="M45" i="14"/>
  <c r="H45" i="14"/>
  <c r="G45" i="14"/>
  <c r="F45" i="14"/>
  <c r="E45" i="14"/>
  <c r="M39" i="14"/>
  <c r="L39" i="14"/>
  <c r="K39" i="14"/>
  <c r="J39" i="14"/>
  <c r="G39" i="14"/>
  <c r="F39" i="14"/>
  <c r="E39" i="14"/>
  <c r="D39" i="14"/>
  <c r="K35" i="14"/>
  <c r="L35" i="14" s="1"/>
  <c r="M35" i="14" s="1"/>
  <c r="G35" i="14"/>
  <c r="F35" i="14"/>
  <c r="E35" i="14"/>
  <c r="M29" i="14"/>
  <c r="L29" i="14"/>
  <c r="K29" i="14"/>
  <c r="J29" i="14"/>
  <c r="I29" i="14"/>
  <c r="H29" i="14"/>
  <c r="F29" i="14"/>
  <c r="E29" i="14"/>
  <c r="D29" i="14"/>
  <c r="D33" i="14" s="1"/>
  <c r="J25" i="14"/>
  <c r="K25" i="14" s="1"/>
  <c r="L25" i="14" s="1"/>
  <c r="M25" i="14" s="1"/>
  <c r="E25" i="14"/>
  <c r="M19" i="14"/>
  <c r="L19" i="14"/>
  <c r="K19" i="14"/>
  <c r="J19" i="14"/>
  <c r="I19" i="14"/>
  <c r="H19" i="14"/>
  <c r="G19" i="14"/>
  <c r="E19" i="14"/>
  <c r="D19" i="14"/>
  <c r="H15" i="14"/>
  <c r="C14" i="14"/>
  <c r="M14" i="14" s="1"/>
  <c r="G11" i="14"/>
  <c r="F11" i="14"/>
  <c r="M9" i="14"/>
  <c r="L9" i="14"/>
  <c r="K9" i="14"/>
  <c r="J9" i="14"/>
  <c r="I9" i="14"/>
  <c r="H9" i="14"/>
  <c r="G9" i="14"/>
  <c r="F9" i="14"/>
  <c r="E13" i="14"/>
  <c r="M5" i="14"/>
  <c r="L5" i="14"/>
  <c r="K5" i="14"/>
  <c r="J5" i="14"/>
  <c r="I5" i="14"/>
  <c r="H5" i="14"/>
  <c r="G5" i="14"/>
  <c r="F5" i="14"/>
  <c r="E5" i="14"/>
  <c r="M4" i="14"/>
  <c r="L4" i="14"/>
  <c r="K4" i="14"/>
  <c r="J4" i="14"/>
  <c r="I4" i="14"/>
  <c r="H4" i="14"/>
  <c r="G4" i="14"/>
  <c r="F4" i="14"/>
  <c r="E4" i="14"/>
  <c r="D4" i="14"/>
  <c r="N16" i="15"/>
  <c r="M16" i="15"/>
  <c r="L16" i="15"/>
  <c r="K16" i="15"/>
  <c r="J16" i="15"/>
  <c r="I16" i="15"/>
  <c r="H16" i="15"/>
  <c r="G16" i="15"/>
  <c r="F16" i="15"/>
  <c r="N15" i="15"/>
  <c r="M15" i="15"/>
  <c r="L15" i="15"/>
  <c r="K15" i="15"/>
  <c r="J15" i="15"/>
  <c r="I15" i="15"/>
  <c r="H15" i="15"/>
  <c r="G15" i="15"/>
  <c r="F15" i="15"/>
  <c r="E15" i="15"/>
  <c r="N14" i="15"/>
  <c r="M14" i="15"/>
  <c r="L14" i="15"/>
  <c r="K14" i="15"/>
  <c r="J14" i="15"/>
  <c r="I14" i="15"/>
  <c r="H14" i="15"/>
  <c r="G14" i="15"/>
  <c r="F14" i="15"/>
  <c r="E14" i="15"/>
  <c r="D14" i="15"/>
  <c r="N13" i="15"/>
  <c r="M13" i="15"/>
  <c r="L13" i="15"/>
  <c r="K13" i="15"/>
  <c r="J13" i="15"/>
  <c r="I13" i="15"/>
  <c r="H13" i="15"/>
  <c r="G13" i="15"/>
  <c r="F13" i="15"/>
  <c r="E13" i="15"/>
  <c r="D13" i="15"/>
  <c r="N12" i="15"/>
  <c r="M12" i="15"/>
  <c r="L12" i="15"/>
  <c r="K12" i="15"/>
  <c r="J12" i="15"/>
  <c r="I12" i="15"/>
  <c r="H12" i="15"/>
  <c r="G12" i="15"/>
  <c r="F12" i="15"/>
  <c r="E12" i="15"/>
  <c r="N9" i="15"/>
  <c r="L9" i="15"/>
  <c r="K9" i="15"/>
  <c r="J9" i="15"/>
  <c r="I9" i="15"/>
  <c r="H9" i="15"/>
  <c r="G9" i="15"/>
  <c r="F9" i="15"/>
  <c r="F90" i="48" s="1"/>
  <c r="F91" i="48" s="1"/>
  <c r="D9" i="15"/>
  <c r="N5" i="15"/>
  <c r="M5" i="15"/>
  <c r="L5" i="15"/>
  <c r="K5" i="15"/>
  <c r="J5" i="15"/>
  <c r="I5" i="15"/>
  <c r="H5" i="15"/>
  <c r="G5" i="15"/>
  <c r="F5" i="15"/>
  <c r="N4" i="15"/>
  <c r="M4" i="15"/>
  <c r="L4" i="15"/>
  <c r="K4" i="15"/>
  <c r="J4" i="15"/>
  <c r="I4" i="15"/>
  <c r="H4" i="15"/>
  <c r="G4" i="15"/>
  <c r="F4" i="15"/>
  <c r="E4" i="15"/>
  <c r="F125" i="28"/>
  <c r="F127" i="28" s="1"/>
  <c r="F118" i="28"/>
  <c r="E104" i="28"/>
  <c r="E103" i="28"/>
  <c r="E102" i="28"/>
  <c r="E99" i="28"/>
  <c r="E98" i="28"/>
  <c r="E97" i="28"/>
  <c r="N56" i="28"/>
  <c r="M56" i="28"/>
  <c r="L56" i="28"/>
  <c r="K56" i="28"/>
  <c r="J56" i="28"/>
  <c r="I56" i="28"/>
  <c r="H56" i="28"/>
  <c r="G56" i="28"/>
  <c r="F56" i="28"/>
  <c r="E56" i="28"/>
  <c r="D56" i="28"/>
  <c r="N55" i="28"/>
  <c r="K55" i="28"/>
  <c r="J55" i="28"/>
  <c r="G55" i="28"/>
  <c r="F48" i="28"/>
  <c r="G48" i="28" s="1"/>
  <c r="H48" i="28" s="1"/>
  <c r="I48" i="28" s="1"/>
  <c r="J48" i="28" s="1"/>
  <c r="K48" i="28" s="1"/>
  <c r="L48" i="28" s="1"/>
  <c r="M48" i="28" s="1"/>
  <c r="N48" i="28" s="1"/>
  <c r="F29" i="28"/>
  <c r="D7" i="37" s="1"/>
  <c r="D6" i="37"/>
  <c r="F3" i="28"/>
  <c r="G3" i="28" s="1"/>
  <c r="H3" i="28" s="1"/>
  <c r="I3" i="28" s="1"/>
  <c r="J3" i="28" s="1"/>
  <c r="K3" i="28" s="1"/>
  <c r="L3" i="28" s="1"/>
  <c r="M3" i="28" s="1"/>
  <c r="N3" i="28" s="1"/>
  <c r="G20" i="37" l="1"/>
  <c r="C60" i="26"/>
  <c r="C52" i="48" s="1"/>
  <c r="C60" i="48"/>
  <c r="J51" i="28"/>
  <c r="J59" i="28" s="1"/>
  <c r="K51" i="28"/>
  <c r="K59" i="28" s="1"/>
  <c r="H51" i="28"/>
  <c r="H59" i="28" s="1"/>
  <c r="I77" i="29"/>
  <c r="I64" i="28" s="1"/>
  <c r="G73" i="22"/>
  <c r="H72" i="22"/>
  <c r="D23" i="22"/>
  <c r="D24" i="22"/>
  <c r="D42" i="22"/>
  <c r="D41" i="22"/>
  <c r="D50" i="22"/>
  <c r="D51" i="22"/>
  <c r="D59" i="22"/>
  <c r="D60" i="22"/>
  <c r="F55" i="22"/>
  <c r="G54" i="22"/>
  <c r="D68" i="22"/>
  <c r="D69" i="22"/>
  <c r="C14" i="22"/>
  <c r="C24" i="22"/>
  <c r="C32" i="22"/>
  <c r="D39" i="22"/>
  <c r="D40" i="22" s="1"/>
  <c r="C42" i="22"/>
  <c r="C49" i="22"/>
  <c r="C59" i="22"/>
  <c r="F73" i="22"/>
  <c r="D75" i="22"/>
  <c r="D76" i="22" s="1"/>
  <c r="D77" i="22"/>
  <c r="E4" i="22"/>
  <c r="E33" i="22" s="1"/>
  <c r="D12" i="22"/>
  <c r="C15" i="22"/>
  <c r="C22" i="22"/>
  <c r="D28" i="22"/>
  <c r="D30" i="22"/>
  <c r="D31" i="22" s="1"/>
  <c r="C50" i="22"/>
  <c r="E55" i="22"/>
  <c r="D57" i="22"/>
  <c r="D58" i="22" s="1"/>
  <c r="C67" i="22"/>
  <c r="C78" i="22"/>
  <c r="C40" i="22"/>
  <c r="E45" i="22"/>
  <c r="D48" i="22"/>
  <c r="D49" i="22" s="1"/>
  <c r="C68" i="22"/>
  <c r="C76" i="22"/>
  <c r="D21" i="22"/>
  <c r="D22" i="22" s="1"/>
  <c r="C31" i="22"/>
  <c r="E36" i="22"/>
  <c r="C58" i="22"/>
  <c r="E63" i="22"/>
  <c r="D7" i="36"/>
  <c r="F12" i="36" s="1"/>
  <c r="F14" i="36" s="1"/>
  <c r="F16" i="36" s="1"/>
  <c r="D12" i="46"/>
  <c r="D13" i="46" s="1"/>
  <c r="D30" i="46"/>
  <c r="D31" i="46" s="1"/>
  <c r="E4" i="46"/>
  <c r="F18" i="46"/>
  <c r="G27" i="46"/>
  <c r="J45" i="47"/>
  <c r="K8" i="28"/>
  <c r="F8" i="29"/>
  <c r="F76" i="29" s="1"/>
  <c r="F65" i="28" s="1"/>
  <c r="J46" i="29"/>
  <c r="J78" i="29" s="1"/>
  <c r="D33" i="23"/>
  <c r="C65" i="28" s="1"/>
  <c r="F83" i="29"/>
  <c r="F62" i="28" s="1"/>
  <c r="H18" i="19"/>
  <c r="I51" i="28" s="1"/>
  <c r="I59" i="28" s="1"/>
  <c r="K21" i="26"/>
  <c r="M21" i="26"/>
  <c r="I78" i="29"/>
  <c r="H39" i="14"/>
  <c r="E76" i="29"/>
  <c r="E65" i="28" s="1"/>
  <c r="E8" i="23"/>
  <c r="F54" i="28" s="1"/>
  <c r="D82" i="14"/>
  <c r="E77" i="29"/>
  <c r="E64" i="28" s="1"/>
  <c r="L80" i="29"/>
  <c r="D92" i="29"/>
  <c r="L29" i="26"/>
  <c r="D107" i="22"/>
  <c r="G77" i="29"/>
  <c r="G64" i="28" s="1"/>
  <c r="F19" i="14"/>
  <c r="G23" i="14" s="1"/>
  <c r="K27" i="19"/>
  <c r="K31" i="19" s="1"/>
  <c r="C53" i="47"/>
  <c r="D53" i="19"/>
  <c r="I39" i="29"/>
  <c r="I83" i="29" s="1"/>
  <c r="I62" i="28" s="1"/>
  <c r="M80" i="29"/>
  <c r="D80" i="14"/>
  <c r="C80" i="14" s="1"/>
  <c r="I31" i="14" s="1"/>
  <c r="H19" i="26"/>
  <c r="K23" i="26" s="1"/>
  <c r="J29" i="26"/>
  <c r="E15" i="29"/>
  <c r="E84" i="29" s="1"/>
  <c r="E66" i="28" s="1"/>
  <c r="E55" i="28" s="1"/>
  <c r="G22" i="47"/>
  <c r="H80" i="29"/>
  <c r="L77" i="29"/>
  <c r="L64" i="28" s="1"/>
  <c r="G21" i="26"/>
  <c r="H21" i="26"/>
  <c r="N50" i="28"/>
  <c r="N58" i="28" s="1"/>
  <c r="E52" i="28"/>
  <c r="E60" i="28" s="1"/>
  <c r="L21" i="26"/>
  <c r="H78" i="29"/>
  <c r="G29" i="14"/>
  <c r="M33" i="14" s="1"/>
  <c r="I80" i="29"/>
  <c r="J80" i="29"/>
  <c r="H52" i="28"/>
  <c r="H60" i="28" s="1"/>
  <c r="F27" i="22"/>
  <c r="F28" i="22" s="1"/>
  <c r="C64" i="28"/>
  <c r="E86" i="28"/>
  <c r="F86" i="28" s="1"/>
  <c r="E50" i="28"/>
  <c r="E58" i="28" s="1"/>
  <c r="I52" i="28"/>
  <c r="I60" i="28" s="1"/>
  <c r="M52" i="28"/>
  <c r="M60" i="28" s="1"/>
  <c r="D21" i="26"/>
  <c r="I21" i="26"/>
  <c r="D103" i="22"/>
  <c r="J52" i="28"/>
  <c r="J60" i="28" s="1"/>
  <c r="N52" i="28"/>
  <c r="N60" i="28" s="1"/>
  <c r="E21" i="26"/>
  <c r="I33" i="26"/>
  <c r="H18" i="20"/>
  <c r="D41" i="14"/>
  <c r="M41" i="14"/>
  <c r="I41" i="14"/>
  <c r="H41" i="14"/>
  <c r="H17" i="15"/>
  <c r="L17" i="15"/>
  <c r="M17" i="15"/>
  <c r="F17" i="15"/>
  <c r="N17" i="15"/>
  <c r="E33" i="14"/>
  <c r="G53" i="14"/>
  <c r="L52" i="28"/>
  <c r="L60" i="28" s="1"/>
  <c r="E33" i="26"/>
  <c r="C60" i="28"/>
  <c r="D56" i="46"/>
  <c r="E9" i="46"/>
  <c r="F9" i="46" s="1"/>
  <c r="J13" i="47"/>
  <c r="E13" i="47"/>
  <c r="K13" i="47"/>
  <c r="L13" i="47"/>
  <c r="G13" i="47"/>
  <c r="H13" i="47"/>
  <c r="F13" i="47"/>
  <c r="I13" i="47"/>
  <c r="M13" i="47"/>
  <c r="D13" i="47"/>
  <c r="E88" i="28"/>
  <c r="F88" i="28" s="1"/>
  <c r="E89" i="28"/>
  <c r="F89" i="28" s="1"/>
  <c r="I50" i="28"/>
  <c r="I58" i="28" s="1"/>
  <c r="G22" i="19"/>
  <c r="L10" i="15"/>
  <c r="D10" i="15"/>
  <c r="E87" i="28"/>
  <c r="F87" i="28" s="1"/>
  <c r="D53" i="14"/>
  <c r="C106" i="18"/>
  <c r="C66" i="28"/>
  <c r="E10" i="18"/>
  <c r="F10" i="18" s="1"/>
  <c r="G10" i="18" s="1"/>
  <c r="H10" i="18" s="1"/>
  <c r="I10" i="18" s="1"/>
  <c r="I53" i="14"/>
  <c r="L63" i="22"/>
  <c r="H29" i="18"/>
  <c r="I29" i="18" s="1"/>
  <c r="J29" i="18" s="1"/>
  <c r="I48" i="18"/>
  <c r="J48" i="18" s="1"/>
  <c r="K48" i="18" s="1"/>
  <c r="L48" i="18" s="1"/>
  <c r="L27" i="19"/>
  <c r="C62" i="28"/>
  <c r="E9" i="20"/>
  <c r="F9" i="20" s="1"/>
  <c r="D47" i="20"/>
  <c r="E80" i="29"/>
  <c r="D9" i="19"/>
  <c r="E51" i="28" s="1"/>
  <c r="E59" i="28" s="1"/>
  <c r="D58" i="46"/>
  <c r="C63" i="28"/>
  <c r="M28" i="46"/>
  <c r="M50" i="28"/>
  <c r="M58" i="28" s="1"/>
  <c r="D14" i="46"/>
  <c r="C24" i="46"/>
  <c r="D33" i="46"/>
  <c r="C87" i="18"/>
  <c r="C49" i="18"/>
  <c r="C60" i="18" s="1"/>
  <c r="D24" i="46"/>
  <c r="C32" i="46"/>
  <c r="C35" i="46"/>
  <c r="C15" i="46"/>
  <c r="C23" i="46"/>
  <c r="D32" i="46"/>
  <c r="C14" i="46"/>
  <c r="D15" i="46"/>
  <c r="D23" i="46"/>
  <c r="C33" i="46"/>
  <c r="D9" i="28"/>
  <c r="C37" i="20"/>
  <c r="E9" i="28"/>
  <c r="D37" i="20"/>
  <c r="E29" i="20"/>
  <c r="E100" i="28"/>
  <c r="F100" i="28" s="1"/>
  <c r="C86" i="22" s="1"/>
  <c r="E101" i="28"/>
  <c r="F101" i="28" s="1"/>
  <c r="C87" i="22" s="1"/>
  <c r="F99" i="28"/>
  <c r="C85" i="22" s="1"/>
  <c r="D89" i="22" s="1"/>
  <c r="F98" i="28"/>
  <c r="C31" i="20" s="1"/>
  <c r="F31" i="20" s="1"/>
  <c r="F33" i="20" s="1"/>
  <c r="F102" i="28"/>
  <c r="C17" i="23" s="1"/>
  <c r="L17" i="23" s="1"/>
  <c r="L19" i="23" s="1"/>
  <c r="F97" i="28"/>
  <c r="F104" i="28"/>
  <c r="C40" i="46" s="1"/>
  <c r="G29" i="28"/>
  <c r="H29" i="28" s="1"/>
  <c r="I29" i="28" s="1"/>
  <c r="F103" i="28"/>
  <c r="C90" i="18" s="1"/>
  <c r="D90" i="18" s="1"/>
  <c r="D10" i="14"/>
  <c r="H11" i="14"/>
  <c r="I15" i="14"/>
  <c r="J15" i="14" s="1"/>
  <c r="J11" i="14" s="1"/>
  <c r="K13" i="14"/>
  <c r="J13" i="14"/>
  <c r="F4" i="19"/>
  <c r="G4" i="19" s="1"/>
  <c r="E23" i="19"/>
  <c r="H29" i="19"/>
  <c r="D23" i="19"/>
  <c r="D34" i="19" s="1"/>
  <c r="D36" i="19" s="1"/>
  <c r="F22" i="19"/>
  <c r="G19" i="19"/>
  <c r="G20" i="19" s="1"/>
  <c r="E20" i="19"/>
  <c r="F28" i="19"/>
  <c r="G28" i="19" s="1"/>
  <c r="H28" i="19" s="1"/>
  <c r="I28" i="19" s="1"/>
  <c r="J28" i="19" s="1"/>
  <c r="K28" i="19" s="1"/>
  <c r="C36" i="19"/>
  <c r="C37" i="19" s="1"/>
  <c r="D6" i="48" s="1"/>
  <c r="G29" i="19"/>
  <c r="E29" i="19"/>
  <c r="G59" i="28"/>
  <c r="M28" i="19"/>
  <c r="L28" i="19"/>
  <c r="I29" i="19" s="1"/>
  <c r="F59" i="28"/>
  <c r="N59" i="28"/>
  <c r="C54" i="19"/>
  <c r="H19" i="19" s="1"/>
  <c r="H20" i="19" s="1"/>
  <c r="F12" i="34"/>
  <c r="G12" i="34" s="1"/>
  <c r="K5" i="36"/>
  <c r="G27" i="28"/>
  <c r="E6" i="37" s="1"/>
  <c r="F21" i="34"/>
  <c r="G21" i="34" s="1"/>
  <c r="D21" i="34"/>
  <c r="F31" i="26"/>
  <c r="D31" i="26"/>
  <c r="D30" i="26"/>
  <c r="K49" i="14"/>
  <c r="K58" i="29"/>
  <c r="K78" i="29" s="1"/>
  <c r="E9" i="26"/>
  <c r="F52" i="28" s="1"/>
  <c r="F60" i="28" s="1"/>
  <c r="F9" i="26"/>
  <c r="G52" i="28" s="1"/>
  <c r="G60" i="28" s="1"/>
  <c r="C79" i="14"/>
  <c r="D20" i="14" s="1"/>
  <c r="E23" i="14"/>
  <c r="F50" i="28"/>
  <c r="F58" i="28" s="1"/>
  <c r="C58" i="26"/>
  <c r="E17" i="15"/>
  <c r="F14" i="14"/>
  <c r="F24" i="14" s="1"/>
  <c r="F34" i="14" s="1"/>
  <c r="F44" i="14" s="1"/>
  <c r="F54" i="14" s="1"/>
  <c r="D68" i="28"/>
  <c r="F9" i="28"/>
  <c r="E37" i="20"/>
  <c r="I17" i="15"/>
  <c r="J17" i="15"/>
  <c r="H10" i="15"/>
  <c r="G17" i="15"/>
  <c r="K17" i="15"/>
  <c r="I71" i="32"/>
  <c r="I31" i="19"/>
  <c r="H31" i="19"/>
  <c r="F71" i="32"/>
  <c r="D17" i="15"/>
  <c r="E31" i="19"/>
  <c r="M31" i="26"/>
  <c r="I31" i="26"/>
  <c r="E31" i="26"/>
  <c r="H31" i="26"/>
  <c r="L31" i="26"/>
  <c r="G31" i="26"/>
  <c r="D23" i="26"/>
  <c r="F23" i="26"/>
  <c r="E23" i="26"/>
  <c r="F10" i="15"/>
  <c r="K10" i="15"/>
  <c r="H43" i="14"/>
  <c r="D43" i="14"/>
  <c r="G43" i="14"/>
  <c r="F43" i="14"/>
  <c r="F31" i="19"/>
  <c r="G23" i="26"/>
  <c r="J31" i="26"/>
  <c r="F33" i="26"/>
  <c r="I19" i="46"/>
  <c r="J18" i="46"/>
  <c r="E71" i="32"/>
  <c r="M71" i="32"/>
  <c r="N10" i="15"/>
  <c r="J71" i="32"/>
  <c r="J10" i="15"/>
  <c r="D71" i="32"/>
  <c r="E10" i="15"/>
  <c r="H71" i="32"/>
  <c r="I10" i="15"/>
  <c r="L71" i="32"/>
  <c r="M10" i="15"/>
  <c r="G10" i="15"/>
  <c r="L13" i="14"/>
  <c r="H13" i="14"/>
  <c r="I13" i="14"/>
  <c r="D13" i="14"/>
  <c r="M13" i="14"/>
  <c r="G13" i="14"/>
  <c r="F13" i="14"/>
  <c r="E43" i="14"/>
  <c r="J41" i="14"/>
  <c r="F41" i="14"/>
  <c r="D40" i="14"/>
  <c r="L41" i="14"/>
  <c r="G41" i="14"/>
  <c r="K41" i="14"/>
  <c r="E41" i="14"/>
  <c r="E40" i="14" s="1"/>
  <c r="E22" i="19"/>
  <c r="J31" i="19"/>
  <c r="D13" i="26"/>
  <c r="K31" i="26"/>
  <c r="D57" i="46"/>
  <c r="C109" i="18"/>
  <c r="M67" i="18"/>
  <c r="C71" i="32"/>
  <c r="C91" i="22"/>
  <c r="G71" i="32"/>
  <c r="K71" i="32"/>
  <c r="E11" i="14"/>
  <c r="E10" i="14" s="1"/>
  <c r="H53" i="14"/>
  <c r="G33" i="26"/>
  <c r="H33" i="26"/>
  <c r="J21" i="26"/>
  <c r="F21" i="26"/>
  <c r="D20" i="26"/>
  <c r="D106" i="22"/>
  <c r="H36" i="22"/>
  <c r="D23" i="14"/>
  <c r="J45" i="22"/>
  <c r="I46" i="22"/>
  <c r="D104" i="22"/>
  <c r="E18" i="22"/>
  <c r="F33" i="14"/>
  <c r="F53" i="14"/>
  <c r="D22" i="19"/>
  <c r="G31" i="19"/>
  <c r="M72" i="22"/>
  <c r="M73" i="22" s="1"/>
  <c r="D110" i="22"/>
  <c r="D108" i="22"/>
  <c r="J54" i="22"/>
  <c r="H14" i="14"/>
  <c r="H24" i="14" s="1"/>
  <c r="H34" i="14" s="1"/>
  <c r="H44" i="14" s="1"/>
  <c r="H54" i="14" s="1"/>
  <c r="E11" i="23"/>
  <c r="M11" i="23"/>
  <c r="J11" i="23"/>
  <c r="J14" i="14"/>
  <c r="J24" i="14" s="1"/>
  <c r="J34" i="14" s="1"/>
  <c r="J44" i="14" s="1"/>
  <c r="J54" i="14" s="1"/>
  <c r="C24" i="14"/>
  <c r="C34" i="14" s="1"/>
  <c r="C44" i="14" s="1"/>
  <c r="C54" i="14" s="1"/>
  <c r="F11" i="23"/>
  <c r="C13" i="23"/>
  <c r="D14" i="14"/>
  <c r="L14" i="14"/>
  <c r="L24" i="14" s="1"/>
  <c r="L34" i="14" s="1"/>
  <c r="L44" i="14" s="1"/>
  <c r="L54" i="14" s="1"/>
  <c r="I11" i="23"/>
  <c r="M24" i="14"/>
  <c r="M34" i="14" s="1"/>
  <c r="M44" i="14" s="1"/>
  <c r="M54" i="14" s="1"/>
  <c r="G14" i="14"/>
  <c r="K14" i="14"/>
  <c r="E14" i="14"/>
  <c r="I14" i="14"/>
  <c r="G11" i="23"/>
  <c r="K11" i="23"/>
  <c r="D11" i="23"/>
  <c r="D13" i="23" s="1"/>
  <c r="H11" i="23"/>
  <c r="I58" i="32"/>
  <c r="I59" i="32"/>
  <c r="J45" i="32"/>
  <c r="C56" i="28"/>
  <c r="K46" i="32"/>
  <c r="H40" i="32"/>
  <c r="H41" i="32"/>
  <c r="I27" i="32"/>
  <c r="J28" i="32"/>
  <c r="D65" i="32"/>
  <c r="E14" i="28" s="1"/>
  <c r="E23" i="32"/>
  <c r="E63" i="32" s="1"/>
  <c r="F23" i="32"/>
  <c r="F63" i="32" s="1"/>
  <c r="G9" i="32"/>
  <c r="E10" i="32"/>
  <c r="F29" i="18"/>
  <c r="G66" i="18"/>
  <c r="E67" i="18"/>
  <c r="D78" i="18"/>
  <c r="D82" i="18" s="1"/>
  <c r="D59" i="18"/>
  <c r="D63" i="18" s="1"/>
  <c r="D40" i="18"/>
  <c r="D77" i="18"/>
  <c r="D80" i="18" s="1"/>
  <c r="D58" i="18"/>
  <c r="D61" i="18" s="1"/>
  <c r="D39" i="18"/>
  <c r="D42" i="18" s="1"/>
  <c r="D20" i="18"/>
  <c r="D23" i="18" s="1"/>
  <c r="D11" i="18"/>
  <c r="E11" i="18"/>
  <c r="C17" i="18"/>
  <c r="D21" i="18"/>
  <c r="D25" i="18" s="1"/>
  <c r="E39" i="18"/>
  <c r="D44" i="18"/>
  <c r="F48" i="18"/>
  <c r="G67" i="18"/>
  <c r="E78" i="18"/>
  <c r="E20" i="18"/>
  <c r="E21" i="18"/>
  <c r="C23" i="18"/>
  <c r="C85" i="18" s="1"/>
  <c r="D86" i="18"/>
  <c r="I28" i="18"/>
  <c r="E40" i="18"/>
  <c r="E44" i="18" s="1"/>
  <c r="E47" i="18"/>
  <c r="K47" i="18"/>
  <c r="E58" i="18"/>
  <c r="E77" i="18"/>
  <c r="F4" i="18"/>
  <c r="E24" i="18"/>
  <c r="E28" i="18"/>
  <c r="E59" i="18"/>
  <c r="E63" i="18" s="1"/>
  <c r="E66" i="18"/>
  <c r="G33" i="37" l="1"/>
  <c r="H20" i="37"/>
  <c r="C82" i="14"/>
  <c r="C58" i="48"/>
  <c r="L50" i="28"/>
  <c r="L58" i="28" s="1"/>
  <c r="L50" i="48"/>
  <c r="L58" i="48" s="1"/>
  <c r="L68" i="48" s="1"/>
  <c r="L33" i="26"/>
  <c r="K52" i="48"/>
  <c r="K60" i="48" s="1"/>
  <c r="D29" i="28"/>
  <c r="D29" i="48"/>
  <c r="C81" i="22"/>
  <c r="D35" i="46"/>
  <c r="F11" i="26"/>
  <c r="E30" i="26"/>
  <c r="E10" i="47"/>
  <c r="E34" i="47" s="1"/>
  <c r="G10" i="47"/>
  <c r="F10" i="47"/>
  <c r="C53" i="28"/>
  <c r="K33" i="26"/>
  <c r="L18" i="15"/>
  <c r="L28" i="28" s="1"/>
  <c r="M22" i="19"/>
  <c r="I22" i="19"/>
  <c r="L22" i="19"/>
  <c r="H22" i="19"/>
  <c r="J22" i="19"/>
  <c r="K22" i="19"/>
  <c r="E91" i="28"/>
  <c r="C82" i="22"/>
  <c r="C80" i="22"/>
  <c r="E59" i="22"/>
  <c r="E60" i="22"/>
  <c r="E37" i="22"/>
  <c r="F36" i="22"/>
  <c r="E77" i="22"/>
  <c r="G55" i="22"/>
  <c r="H54" i="22"/>
  <c r="H73" i="22"/>
  <c r="I72" i="22"/>
  <c r="E64" i="22"/>
  <c r="F63" i="22"/>
  <c r="F45" i="22"/>
  <c r="E46" i="22"/>
  <c r="D32" i="22"/>
  <c r="D33" i="22"/>
  <c r="E48" i="22"/>
  <c r="E49" i="22" s="1"/>
  <c r="E57" i="22"/>
  <c r="E58" i="22" s="1"/>
  <c r="E30" i="22"/>
  <c r="E31" i="22" s="1"/>
  <c r="E12" i="22"/>
  <c r="F4" i="22"/>
  <c r="E75" i="22"/>
  <c r="E76" i="22" s="1"/>
  <c r="E39" i="22"/>
  <c r="E40" i="22" s="1"/>
  <c r="E66" i="22"/>
  <c r="E67" i="22" s="1"/>
  <c r="E21" i="22"/>
  <c r="E78" i="22"/>
  <c r="F59" i="22"/>
  <c r="F60" i="22"/>
  <c r="E32" i="22"/>
  <c r="E85" i="22"/>
  <c r="F89" i="22" s="1"/>
  <c r="F91" i="22" s="1"/>
  <c r="G23" i="48" s="1"/>
  <c r="G28" i="46"/>
  <c r="H27" i="46"/>
  <c r="E30" i="46"/>
  <c r="E31" i="46" s="1"/>
  <c r="F4" i="46"/>
  <c r="E12" i="46"/>
  <c r="E13" i="46" s="1"/>
  <c r="E21" i="46"/>
  <c r="E22" i="46" s="1"/>
  <c r="E33" i="46"/>
  <c r="E14" i="46"/>
  <c r="E32" i="46"/>
  <c r="E23" i="46"/>
  <c r="E24" i="46"/>
  <c r="E15" i="46"/>
  <c r="F19" i="46"/>
  <c r="G18" i="46"/>
  <c r="L92" i="29"/>
  <c r="M33" i="26"/>
  <c r="J33" i="26"/>
  <c r="K52" i="28"/>
  <c r="K60" i="28" s="1"/>
  <c r="D51" i="14"/>
  <c r="L31" i="19"/>
  <c r="M51" i="28"/>
  <c r="M59" i="28" s="1"/>
  <c r="M68" i="28" s="1"/>
  <c r="L51" i="28"/>
  <c r="L59" i="28" s="1"/>
  <c r="E25" i="18"/>
  <c r="C53" i="19"/>
  <c r="C59" i="28"/>
  <c r="C33" i="23"/>
  <c r="C54" i="28" s="1"/>
  <c r="F8" i="23"/>
  <c r="G54" i="28" s="1"/>
  <c r="J31" i="20"/>
  <c r="J33" i="20" s="1"/>
  <c r="J35" i="20" s="1"/>
  <c r="C68" i="18"/>
  <c r="C79" i="18" s="1"/>
  <c r="C84" i="18" s="1"/>
  <c r="C88" i="18" s="1"/>
  <c r="D37" i="46"/>
  <c r="D36" i="46"/>
  <c r="C36" i="46"/>
  <c r="C62" i="14"/>
  <c r="F62" i="14" s="1"/>
  <c r="F64" i="14" s="1"/>
  <c r="F66" i="14" s="1"/>
  <c r="C39" i="47"/>
  <c r="L21" i="14"/>
  <c r="F33" i="22"/>
  <c r="L51" i="14"/>
  <c r="J23" i="26"/>
  <c r="I23" i="26"/>
  <c r="M23" i="26"/>
  <c r="L23" i="26"/>
  <c r="K51" i="14"/>
  <c r="H23" i="26"/>
  <c r="D50" i="14"/>
  <c r="L23" i="14"/>
  <c r="G51" i="14"/>
  <c r="F18" i="15"/>
  <c r="F32" i="22"/>
  <c r="H51" i="14"/>
  <c r="H23" i="14"/>
  <c r="M18" i="15"/>
  <c r="M28" i="28" s="1"/>
  <c r="J33" i="14"/>
  <c r="M23" i="14"/>
  <c r="I51" i="14"/>
  <c r="F51" i="14"/>
  <c r="G50" i="28"/>
  <c r="G58" i="28" s="1"/>
  <c r="G68" i="28" s="1"/>
  <c r="H92" i="29"/>
  <c r="I39" i="14"/>
  <c r="K23" i="14"/>
  <c r="F23" i="14"/>
  <c r="F92" i="29"/>
  <c r="J23" i="14"/>
  <c r="J51" i="14"/>
  <c r="M51" i="14"/>
  <c r="I23" i="14"/>
  <c r="K13" i="26"/>
  <c r="J18" i="15"/>
  <c r="J28" i="28" s="1"/>
  <c r="M31" i="19"/>
  <c r="I68" i="28"/>
  <c r="F31" i="14"/>
  <c r="F21" i="14"/>
  <c r="H50" i="28"/>
  <c r="H58" i="28" s="1"/>
  <c r="H68" i="28" s="1"/>
  <c r="F91" i="28"/>
  <c r="K31" i="47"/>
  <c r="M31" i="47"/>
  <c r="L31" i="47"/>
  <c r="E13" i="23"/>
  <c r="E14" i="23" s="1"/>
  <c r="E15" i="23" s="1"/>
  <c r="D31" i="14"/>
  <c r="G33" i="14"/>
  <c r="D18" i="15"/>
  <c r="D28" i="28" s="1"/>
  <c r="M31" i="14"/>
  <c r="J31" i="14"/>
  <c r="M92" i="29"/>
  <c r="H31" i="14"/>
  <c r="K33" i="14"/>
  <c r="L33" i="14"/>
  <c r="C58" i="28"/>
  <c r="E31" i="14"/>
  <c r="G31" i="14"/>
  <c r="D92" i="18"/>
  <c r="D94" i="18" s="1"/>
  <c r="E25" i="48" s="1"/>
  <c r="L31" i="14"/>
  <c r="G18" i="15"/>
  <c r="G28" i="28" s="1"/>
  <c r="I18" i="15"/>
  <c r="I28" i="28" s="1"/>
  <c r="I33" i="14"/>
  <c r="H33" i="14"/>
  <c r="G92" i="29"/>
  <c r="E68" i="28"/>
  <c r="K31" i="14"/>
  <c r="D30" i="14"/>
  <c r="J21" i="14"/>
  <c r="H21" i="14"/>
  <c r="N18" i="15"/>
  <c r="N28" i="28" s="1"/>
  <c r="H18" i="15"/>
  <c r="H28" i="28" s="1"/>
  <c r="M21" i="14"/>
  <c r="K11" i="26"/>
  <c r="K38" i="26" s="1"/>
  <c r="G21" i="14"/>
  <c r="H11" i="26"/>
  <c r="H38" i="26" s="1"/>
  <c r="F30" i="26"/>
  <c r="G30" i="26" s="1"/>
  <c r="D10" i="26"/>
  <c r="N68" i="28"/>
  <c r="G27" i="22"/>
  <c r="I92" i="29"/>
  <c r="H22" i="47"/>
  <c r="K22" i="47"/>
  <c r="M22" i="47"/>
  <c r="J22" i="47"/>
  <c r="I22" i="47"/>
  <c r="L22" i="47"/>
  <c r="J92" i="29"/>
  <c r="D10" i="22"/>
  <c r="I18" i="20"/>
  <c r="J18" i="20" s="1"/>
  <c r="K18" i="20" s="1"/>
  <c r="L18" i="20" s="1"/>
  <c r="M18" i="20" s="1"/>
  <c r="H19" i="20"/>
  <c r="G76" i="32"/>
  <c r="H26" i="28"/>
  <c r="C76" i="32"/>
  <c r="C77" i="32" s="1"/>
  <c r="D26" i="28"/>
  <c r="M76" i="32"/>
  <c r="N26" i="28"/>
  <c r="E76" i="32"/>
  <c r="F26" i="28"/>
  <c r="L21" i="23"/>
  <c r="M63" i="22"/>
  <c r="M64" i="22" s="1"/>
  <c r="L64" i="22"/>
  <c r="E92" i="29"/>
  <c r="F76" i="32"/>
  <c r="G26" i="28"/>
  <c r="I76" i="32"/>
  <c r="J26" i="28"/>
  <c r="E9" i="18"/>
  <c r="F9" i="18" s="1"/>
  <c r="G9" i="18" s="1"/>
  <c r="H9" i="18" s="1"/>
  <c r="I9" i="18" s="1"/>
  <c r="C55" i="28"/>
  <c r="F10" i="46"/>
  <c r="G9" i="46"/>
  <c r="K76" i="32"/>
  <c r="L26" i="28"/>
  <c r="L76" i="32"/>
  <c r="M26" i="28"/>
  <c r="H76" i="32"/>
  <c r="I26" i="28"/>
  <c r="D76" i="32"/>
  <c r="E26" i="28"/>
  <c r="J76" i="32"/>
  <c r="K26" i="28"/>
  <c r="F10" i="20"/>
  <c r="G9" i="20"/>
  <c r="H9" i="20" s="1"/>
  <c r="I9" i="20" s="1"/>
  <c r="J9" i="20" s="1"/>
  <c r="K9" i="20" s="1"/>
  <c r="L9" i="20" s="1"/>
  <c r="M9" i="20" s="1"/>
  <c r="J13" i="19"/>
  <c r="F13" i="19"/>
  <c r="M13" i="19"/>
  <c r="I13" i="19"/>
  <c r="E13" i="19"/>
  <c r="L13" i="19"/>
  <c r="H13" i="19"/>
  <c r="D13" i="19"/>
  <c r="K13" i="19"/>
  <c r="G13" i="19"/>
  <c r="C37" i="46"/>
  <c r="F85" i="22"/>
  <c r="G89" i="22" s="1"/>
  <c r="G91" i="22" s="1"/>
  <c r="H23" i="48" s="1"/>
  <c r="D40" i="46"/>
  <c r="D42" i="46" s="1"/>
  <c r="D44" i="46" s="1"/>
  <c r="E40" i="46"/>
  <c r="E42" i="46" s="1"/>
  <c r="E44" i="46" s="1"/>
  <c r="F22" i="48" s="1"/>
  <c r="H17" i="23"/>
  <c r="H19" i="23" s="1"/>
  <c r="H21" i="23" s="1"/>
  <c r="I24" i="48" s="1"/>
  <c r="I17" i="23"/>
  <c r="I19" i="23" s="1"/>
  <c r="I21" i="23" s="1"/>
  <c r="D17" i="23"/>
  <c r="D19" i="23" s="1"/>
  <c r="D21" i="23" s="1"/>
  <c r="E24" i="48" s="1"/>
  <c r="M17" i="23"/>
  <c r="M19" i="23" s="1"/>
  <c r="M21" i="23" s="1"/>
  <c r="N24" i="48" s="1"/>
  <c r="K17" i="23"/>
  <c r="K19" i="23" s="1"/>
  <c r="K21" i="23" s="1"/>
  <c r="L24" i="48" s="1"/>
  <c r="E17" i="23"/>
  <c r="E19" i="23" s="1"/>
  <c r="E21" i="23" s="1"/>
  <c r="M31" i="20"/>
  <c r="M33" i="20" s="1"/>
  <c r="M35" i="20" s="1"/>
  <c r="N21" i="48" s="1"/>
  <c r="G31" i="20"/>
  <c r="G33" i="20" s="1"/>
  <c r="G35" i="20" s="1"/>
  <c r="H21" i="48" s="1"/>
  <c r="D24" i="34"/>
  <c r="D117" i="28"/>
  <c r="C33" i="20"/>
  <c r="C35" i="20" s="1"/>
  <c r="J17" i="23"/>
  <c r="J19" i="23" s="1"/>
  <c r="J21" i="23" s="1"/>
  <c r="K24" i="48" s="1"/>
  <c r="C19" i="23"/>
  <c r="C21" i="23" s="1"/>
  <c r="D24" i="48" s="1"/>
  <c r="D86" i="22"/>
  <c r="E86" i="22"/>
  <c r="F86" i="22"/>
  <c r="C42" i="46"/>
  <c r="D91" i="22"/>
  <c r="D85" i="22"/>
  <c r="E89" i="22" s="1"/>
  <c r="E91" i="22" s="1"/>
  <c r="E90" i="18"/>
  <c r="E92" i="18" s="1"/>
  <c r="E94" i="18" s="1"/>
  <c r="F25" i="48" s="1"/>
  <c r="E87" i="22"/>
  <c r="F87" i="22"/>
  <c r="D87" i="22"/>
  <c r="H31" i="20"/>
  <c r="H33" i="20" s="1"/>
  <c r="H35" i="20" s="1"/>
  <c r="I21" i="48" s="1"/>
  <c r="E31" i="20"/>
  <c r="E33" i="20" s="1"/>
  <c r="E35" i="20" s="1"/>
  <c r="I31" i="20"/>
  <c r="I33" i="20" s="1"/>
  <c r="D31" i="20"/>
  <c r="D33" i="20" s="1"/>
  <c r="D35" i="20" s="1"/>
  <c r="E21" i="48" s="1"/>
  <c r="K31" i="20"/>
  <c r="K33" i="20" s="1"/>
  <c r="K35" i="20" s="1"/>
  <c r="L31" i="20"/>
  <c r="L33" i="20" s="1"/>
  <c r="E7" i="37"/>
  <c r="C42" i="26"/>
  <c r="J42" i="26" s="1"/>
  <c r="J44" i="26" s="1"/>
  <c r="J46" i="26" s="1"/>
  <c r="K19" i="48" s="1"/>
  <c r="F7" i="37"/>
  <c r="C39" i="19"/>
  <c r="C41" i="19" s="1"/>
  <c r="C43" i="19" s="1"/>
  <c r="D18" i="48" s="1"/>
  <c r="G17" i="23"/>
  <c r="G19" i="23" s="1"/>
  <c r="H27" i="28"/>
  <c r="I27" i="28" s="1"/>
  <c r="G6" i="37" s="1"/>
  <c r="C92" i="18"/>
  <c r="C94" i="18" s="1"/>
  <c r="D25" i="48" s="1"/>
  <c r="F17" i="23"/>
  <c r="F19" i="23" s="1"/>
  <c r="F21" i="23" s="1"/>
  <c r="F35" i="20"/>
  <c r="K15" i="14"/>
  <c r="L15" i="14" s="1"/>
  <c r="I11" i="14"/>
  <c r="G14" i="19"/>
  <c r="L29" i="19"/>
  <c r="E32" i="19"/>
  <c r="F23" i="19"/>
  <c r="F14" i="19"/>
  <c r="D6" i="28"/>
  <c r="C45" i="19"/>
  <c r="K29" i="19"/>
  <c r="M29" i="19"/>
  <c r="F29" i="19"/>
  <c r="D32" i="19"/>
  <c r="I19" i="19"/>
  <c r="G23" i="19"/>
  <c r="H4" i="19"/>
  <c r="H14" i="19" s="1"/>
  <c r="J29" i="19"/>
  <c r="C6" i="36"/>
  <c r="F24" i="34"/>
  <c r="G24" i="34" s="1"/>
  <c r="K92" i="29"/>
  <c r="J49" i="14"/>
  <c r="K50" i="48" s="1"/>
  <c r="K58" i="48" s="1"/>
  <c r="K68" i="48" s="1"/>
  <c r="D11" i="26"/>
  <c r="D38" i="26" s="1"/>
  <c r="D39" i="26" s="1"/>
  <c r="D40" i="26" s="1"/>
  <c r="E7" i="48" s="1"/>
  <c r="J11" i="26"/>
  <c r="J38" i="26" s="1"/>
  <c r="F68" i="28"/>
  <c r="L11" i="26"/>
  <c r="L38" i="26" s="1"/>
  <c r="E11" i="26"/>
  <c r="E38" i="26" s="1"/>
  <c r="E13" i="26"/>
  <c r="G13" i="26"/>
  <c r="J13" i="26"/>
  <c r="H13" i="26"/>
  <c r="I11" i="26"/>
  <c r="I38" i="26" s="1"/>
  <c r="I13" i="26"/>
  <c r="M13" i="26"/>
  <c r="F13" i="26"/>
  <c r="L13" i="26"/>
  <c r="C50" i="28"/>
  <c r="D21" i="14"/>
  <c r="K21" i="14"/>
  <c r="I21" i="14"/>
  <c r="E21" i="14"/>
  <c r="E20" i="14" s="1"/>
  <c r="C52" i="28"/>
  <c r="M11" i="26"/>
  <c r="M38" i="26" s="1"/>
  <c r="M39" i="26" s="1"/>
  <c r="M40" i="26" s="1"/>
  <c r="N7" i="48" s="1"/>
  <c r="G11" i="26"/>
  <c r="G38" i="26" s="1"/>
  <c r="G39" i="26" s="1"/>
  <c r="G40" i="26" s="1"/>
  <c r="H7" i="48" s="1"/>
  <c r="G7" i="37"/>
  <c r="J29" i="28"/>
  <c r="K18" i="15"/>
  <c r="K28" i="28" s="1"/>
  <c r="E20" i="26"/>
  <c r="F20" i="26" s="1"/>
  <c r="K45" i="22"/>
  <c r="J46" i="22"/>
  <c r="F10" i="14"/>
  <c r="F18" i="22"/>
  <c r="E19" i="22"/>
  <c r="F40" i="14"/>
  <c r="G40" i="14" s="1"/>
  <c r="F38" i="26"/>
  <c r="K54" i="22"/>
  <c r="J55" i="22"/>
  <c r="H37" i="22"/>
  <c r="I36" i="22"/>
  <c r="D23" i="28"/>
  <c r="C96" i="22"/>
  <c r="M66" i="18"/>
  <c r="E18" i="15"/>
  <c r="J19" i="46"/>
  <c r="K18" i="46"/>
  <c r="D24" i="14"/>
  <c r="D34" i="14" s="1"/>
  <c r="D44" i="14" s="1"/>
  <c r="D54" i="14" s="1"/>
  <c r="C14" i="23"/>
  <c r="C15" i="23" s="1"/>
  <c r="D12" i="48" s="1"/>
  <c r="D14" i="23"/>
  <c r="D15" i="23" s="1"/>
  <c r="E24" i="14"/>
  <c r="E34" i="14" s="1"/>
  <c r="E44" i="14" s="1"/>
  <c r="E54" i="14" s="1"/>
  <c r="K24" i="14"/>
  <c r="K34" i="14" s="1"/>
  <c r="K44" i="14" s="1"/>
  <c r="K54" i="14" s="1"/>
  <c r="I24" i="14"/>
  <c r="I34" i="14" s="1"/>
  <c r="I44" i="14" s="1"/>
  <c r="I54" i="14" s="1"/>
  <c r="G24" i="14"/>
  <c r="G34" i="14" s="1"/>
  <c r="G44" i="14" s="1"/>
  <c r="G54" i="14" s="1"/>
  <c r="J59" i="32"/>
  <c r="K45" i="32"/>
  <c r="J58" i="32"/>
  <c r="K60" i="32"/>
  <c r="L46" i="32"/>
  <c r="J42" i="32"/>
  <c r="K28" i="32"/>
  <c r="I41" i="32"/>
  <c r="J27" i="32"/>
  <c r="I40" i="32"/>
  <c r="G23" i="32"/>
  <c r="G63" i="32" s="1"/>
  <c r="G22" i="32"/>
  <c r="G62" i="32" s="1"/>
  <c r="H9" i="32"/>
  <c r="E24" i="32"/>
  <c r="E64" i="32" s="1"/>
  <c r="E65" i="32" s="1"/>
  <c r="F14" i="28" s="1"/>
  <c r="F10" i="32"/>
  <c r="D73" i="32"/>
  <c r="D87" i="18"/>
  <c r="E42" i="18"/>
  <c r="F28" i="18"/>
  <c r="F77" i="18"/>
  <c r="F80" i="18" s="1"/>
  <c r="F58" i="18"/>
  <c r="F39" i="18"/>
  <c r="F78" i="18"/>
  <c r="F82" i="18" s="1"/>
  <c r="F59" i="18"/>
  <c r="F40" i="18"/>
  <c r="F21" i="18"/>
  <c r="F25" i="18" s="1"/>
  <c r="G4" i="18"/>
  <c r="F20" i="18"/>
  <c r="F11" i="18"/>
  <c r="J10" i="18"/>
  <c r="D85" i="18"/>
  <c r="E82" i="18"/>
  <c r="E86" i="18"/>
  <c r="F24" i="18"/>
  <c r="F47" i="18"/>
  <c r="E61" i="18"/>
  <c r="J28" i="18"/>
  <c r="H67" i="18"/>
  <c r="G48" i="18"/>
  <c r="F63" i="18"/>
  <c r="D30" i="18"/>
  <c r="D22" i="18"/>
  <c r="G29" i="18"/>
  <c r="F44" i="18"/>
  <c r="F90" i="18"/>
  <c r="F92" i="18" s="1"/>
  <c r="K29" i="18"/>
  <c r="E30" i="18"/>
  <c r="E49" i="18" s="1"/>
  <c r="E68" i="18" s="1"/>
  <c r="E79" i="18" s="1"/>
  <c r="E80" i="18"/>
  <c r="H66" i="18"/>
  <c r="L47" i="18"/>
  <c r="M48" i="18"/>
  <c r="M80" i="28" l="1"/>
  <c r="C14" i="38"/>
  <c r="H33" i="37"/>
  <c r="L68" i="28"/>
  <c r="E28" i="28"/>
  <c r="E28" i="48"/>
  <c r="F28" i="28"/>
  <c r="F28" i="48"/>
  <c r="M84" i="28"/>
  <c r="M81" i="48"/>
  <c r="E51" i="14"/>
  <c r="E50" i="14" s="1"/>
  <c r="C50" i="48"/>
  <c r="F12" i="28"/>
  <c r="F12" i="48"/>
  <c r="F71" i="14"/>
  <c r="G17" i="48"/>
  <c r="E22" i="28"/>
  <c r="E22" i="48"/>
  <c r="J40" i="20"/>
  <c r="K21" i="48"/>
  <c r="G21" i="28"/>
  <c r="G21" i="48"/>
  <c r="D96" i="22"/>
  <c r="E23" i="48"/>
  <c r="E26" i="23"/>
  <c r="F24" i="48"/>
  <c r="I26" i="23"/>
  <c r="J24" i="48"/>
  <c r="L26" i="23"/>
  <c r="M24" i="48"/>
  <c r="E96" i="22"/>
  <c r="F23" i="48"/>
  <c r="C40" i="20"/>
  <c r="C41" i="20" s="1"/>
  <c r="D21" i="48"/>
  <c r="E12" i="28"/>
  <c r="E12" i="48"/>
  <c r="G24" i="28"/>
  <c r="G24" i="48"/>
  <c r="E40" i="20"/>
  <c r="E41" i="20" s="1"/>
  <c r="F21" i="48"/>
  <c r="K40" i="20"/>
  <c r="L21" i="48"/>
  <c r="C96" i="18"/>
  <c r="D13" i="48"/>
  <c r="B7" i="37"/>
  <c r="F82" i="48"/>
  <c r="E11" i="47"/>
  <c r="F11" i="47"/>
  <c r="E37" i="46"/>
  <c r="C83" i="22"/>
  <c r="L62" i="14"/>
  <c r="L64" i="14" s="1"/>
  <c r="L66" i="14" s="1"/>
  <c r="E50" i="22"/>
  <c r="E51" i="22"/>
  <c r="I73" i="22"/>
  <c r="J72" i="22"/>
  <c r="E42" i="22"/>
  <c r="E41" i="22"/>
  <c r="F57" i="22"/>
  <c r="F58" i="22" s="1"/>
  <c r="F30" i="22"/>
  <c r="F31" i="22" s="1"/>
  <c r="F12" i="22"/>
  <c r="G4" i="22"/>
  <c r="F75" i="22"/>
  <c r="F76" i="22" s="1"/>
  <c r="F39" i="22"/>
  <c r="F66" i="22"/>
  <c r="F21" i="22"/>
  <c r="F48" i="22"/>
  <c r="F46" i="22"/>
  <c r="G45" i="22"/>
  <c r="F78" i="22"/>
  <c r="F64" i="22"/>
  <c r="G63" i="22"/>
  <c r="I54" i="22"/>
  <c r="I55" i="22" s="1"/>
  <c r="H55" i="22"/>
  <c r="F77" i="22"/>
  <c r="E69" i="22"/>
  <c r="E68" i="22"/>
  <c r="G60" i="22"/>
  <c r="G59" i="22"/>
  <c r="F37" i="22"/>
  <c r="G36" i="22"/>
  <c r="G37" i="22" s="1"/>
  <c r="E35" i="46"/>
  <c r="E36" i="46"/>
  <c r="G19" i="46"/>
  <c r="H18" i="46"/>
  <c r="H19" i="46" s="1"/>
  <c r="F30" i="46"/>
  <c r="F31" i="46" s="1"/>
  <c r="G4" i="46"/>
  <c r="F21" i="46"/>
  <c r="F22" i="46" s="1"/>
  <c r="F12" i="46"/>
  <c r="F13" i="46" s="1"/>
  <c r="F33" i="46"/>
  <c r="F32" i="46"/>
  <c r="F40" i="46"/>
  <c r="F42" i="46" s="1"/>
  <c r="F44" i="46" s="1"/>
  <c r="F24" i="46"/>
  <c r="F23" i="46"/>
  <c r="H28" i="46"/>
  <c r="D38" i="46"/>
  <c r="F50" i="14"/>
  <c r="K58" i="14"/>
  <c r="K59" i="14" s="1"/>
  <c r="K60" i="14" s="1"/>
  <c r="E87" i="18"/>
  <c r="F23" i="18"/>
  <c r="E10" i="19"/>
  <c r="C51" i="28"/>
  <c r="G13" i="23"/>
  <c r="G14" i="23" s="1"/>
  <c r="G15" i="23" s="1"/>
  <c r="I13" i="23"/>
  <c r="I14" i="23" s="1"/>
  <c r="I15" i="23" s="1"/>
  <c r="L13" i="23"/>
  <c r="L14" i="23" s="1"/>
  <c r="L15" i="23" s="1"/>
  <c r="H13" i="23"/>
  <c r="H14" i="23" s="1"/>
  <c r="H15" i="23" s="1"/>
  <c r="J13" i="23"/>
  <c r="J14" i="23" s="1"/>
  <c r="J15" i="23" s="1"/>
  <c r="F13" i="23"/>
  <c r="F14" i="23" s="1"/>
  <c r="K13" i="23"/>
  <c r="K14" i="23" s="1"/>
  <c r="K15" i="23" s="1"/>
  <c r="M13" i="23"/>
  <c r="M14" i="23" s="1"/>
  <c r="M15" i="23" s="1"/>
  <c r="I62" i="14"/>
  <c r="I64" i="14" s="1"/>
  <c r="I66" i="14" s="1"/>
  <c r="C38" i="46"/>
  <c r="D21" i="28"/>
  <c r="E23" i="23"/>
  <c r="E27" i="23" s="1"/>
  <c r="C93" i="22"/>
  <c r="C97" i="22" s="1"/>
  <c r="H62" i="14"/>
  <c r="H64" i="14" s="1"/>
  <c r="H66" i="14" s="1"/>
  <c r="C64" i="14"/>
  <c r="C66" i="14" s="1"/>
  <c r="D62" i="14"/>
  <c r="D64" i="14" s="1"/>
  <c r="D66" i="14" s="1"/>
  <c r="G62" i="14"/>
  <c r="G64" i="14" s="1"/>
  <c r="G66" i="14" s="1"/>
  <c r="M62" i="14"/>
  <c r="M64" i="14" s="1"/>
  <c r="M66" i="14" s="1"/>
  <c r="E62" i="14"/>
  <c r="E64" i="14" s="1"/>
  <c r="E66" i="14" s="1"/>
  <c r="F39" i="47"/>
  <c r="F41" i="47" s="1"/>
  <c r="F43" i="47" s="1"/>
  <c r="G20" i="48" s="1"/>
  <c r="D39" i="47"/>
  <c r="D41" i="47" s="1"/>
  <c r="D43" i="47" s="1"/>
  <c r="E20" i="48" s="1"/>
  <c r="G39" i="47"/>
  <c r="G41" i="47" s="1"/>
  <c r="G43" i="47" s="1"/>
  <c r="H20" i="48" s="1"/>
  <c r="E39" i="47"/>
  <c r="E41" i="47" s="1"/>
  <c r="E43" i="47" s="1"/>
  <c r="F20" i="48" s="1"/>
  <c r="H39" i="47"/>
  <c r="H41" i="47" s="1"/>
  <c r="H43" i="47" s="1"/>
  <c r="I20" i="48" s="1"/>
  <c r="I39" i="47"/>
  <c r="I41" i="47" s="1"/>
  <c r="I43" i="47" s="1"/>
  <c r="J20" i="48" s="1"/>
  <c r="J39" i="47"/>
  <c r="J41" i="47" s="1"/>
  <c r="J43" i="47" s="1"/>
  <c r="K20" i="48" s="1"/>
  <c r="K39" i="47"/>
  <c r="K41" i="47" s="1"/>
  <c r="K43" i="47" s="1"/>
  <c r="L20" i="48" s="1"/>
  <c r="L39" i="47"/>
  <c r="L41" i="47" s="1"/>
  <c r="L43" i="47" s="1"/>
  <c r="M20" i="48" s="1"/>
  <c r="M39" i="47"/>
  <c r="M41" i="47" s="1"/>
  <c r="M43" i="47" s="1"/>
  <c r="N20" i="48" s="1"/>
  <c r="C41" i="47"/>
  <c r="C43" i="47" s="1"/>
  <c r="D20" i="48" s="1"/>
  <c r="K62" i="14"/>
  <c r="K64" i="14" s="1"/>
  <c r="K66" i="14" s="1"/>
  <c r="L17" i="48" s="1"/>
  <c r="J62" i="14"/>
  <c r="J64" i="14" s="1"/>
  <c r="J66" i="14" s="1"/>
  <c r="E10" i="26"/>
  <c r="F10" i="26" s="1"/>
  <c r="E58" i="14"/>
  <c r="E59" i="14" s="1"/>
  <c r="E60" i="14" s="1"/>
  <c r="E30" i="14"/>
  <c r="F30" i="14" s="1"/>
  <c r="G58" i="14"/>
  <c r="G59" i="14" s="1"/>
  <c r="G60" i="14" s="1"/>
  <c r="F58" i="14"/>
  <c r="F59" i="14" s="1"/>
  <c r="F60" i="14" s="1"/>
  <c r="F26" i="23"/>
  <c r="H58" i="14"/>
  <c r="H59" i="14" s="1"/>
  <c r="H60" i="14" s="1"/>
  <c r="I5" i="48" s="1"/>
  <c r="D58" i="14"/>
  <c r="D59" i="14" s="1"/>
  <c r="D60" i="14" s="1"/>
  <c r="E5" i="48" s="1"/>
  <c r="D77" i="32"/>
  <c r="M24" i="28"/>
  <c r="I43" i="14"/>
  <c r="M43" i="14"/>
  <c r="J50" i="28"/>
  <c r="J58" i="28" s="1"/>
  <c r="J68" i="28" s="1"/>
  <c r="L43" i="14"/>
  <c r="J43" i="14"/>
  <c r="K43" i="14"/>
  <c r="D99" i="18"/>
  <c r="E25" i="28"/>
  <c r="J58" i="14"/>
  <c r="J59" i="14" s="1"/>
  <c r="J60" i="14" s="1"/>
  <c r="E22" i="18"/>
  <c r="K21" i="28"/>
  <c r="E36" i="47"/>
  <c r="E35" i="47"/>
  <c r="M11" i="47"/>
  <c r="F34" i="47"/>
  <c r="H27" i="22"/>
  <c r="G28" i="22"/>
  <c r="E10" i="22"/>
  <c r="F9" i="22"/>
  <c r="D14" i="22"/>
  <c r="D81" i="22" s="1"/>
  <c r="D15" i="22"/>
  <c r="D82" i="22" s="1"/>
  <c r="D13" i="22"/>
  <c r="D80" i="22" s="1"/>
  <c r="H24" i="20"/>
  <c r="I19" i="20"/>
  <c r="H23" i="20"/>
  <c r="H22" i="20"/>
  <c r="F15" i="46"/>
  <c r="F14" i="46"/>
  <c r="H9" i="46"/>
  <c r="G10" i="46"/>
  <c r="E23" i="18"/>
  <c r="E85" i="18" s="1"/>
  <c r="F21" i="28"/>
  <c r="F13" i="20"/>
  <c r="F26" i="20" s="1"/>
  <c r="F15" i="20"/>
  <c r="F28" i="20" s="1"/>
  <c r="G10" i="20"/>
  <c r="F14" i="20"/>
  <c r="F27" i="20" s="1"/>
  <c r="G50" i="14"/>
  <c r="H50" i="14" s="1"/>
  <c r="I50" i="14" s="1"/>
  <c r="I58" i="14"/>
  <c r="I59" i="14" s="1"/>
  <c r="I60" i="14" s="1"/>
  <c r="D13" i="28"/>
  <c r="E60" i="18"/>
  <c r="E41" i="18"/>
  <c r="M18" i="23"/>
  <c r="L21" i="28"/>
  <c r="D24" i="28"/>
  <c r="C26" i="23"/>
  <c r="F24" i="28"/>
  <c r="G39" i="19"/>
  <c r="G41" i="19" s="1"/>
  <c r="G43" i="19" s="1"/>
  <c r="M17" i="28"/>
  <c r="F23" i="28"/>
  <c r="I18" i="23"/>
  <c r="C44" i="46"/>
  <c r="E39" i="19"/>
  <c r="E41" i="19" s="1"/>
  <c r="E43" i="19" s="1"/>
  <c r="G18" i="23"/>
  <c r="C18" i="23"/>
  <c r="D49" i="46"/>
  <c r="D39" i="19"/>
  <c r="D41" i="19" s="1"/>
  <c r="D43" i="19" s="1"/>
  <c r="F18" i="23"/>
  <c r="F117" i="28"/>
  <c r="D118" i="28"/>
  <c r="F25" i="28"/>
  <c r="E99" i="18"/>
  <c r="G21" i="23"/>
  <c r="E42" i="26"/>
  <c r="E44" i="26" s="1"/>
  <c r="E46" i="26" s="1"/>
  <c r="J18" i="23"/>
  <c r="C32" i="20"/>
  <c r="E18" i="23"/>
  <c r="L18" i="23"/>
  <c r="F39" i="19"/>
  <c r="F41" i="19" s="1"/>
  <c r="F43" i="19" s="1"/>
  <c r="L32" i="20"/>
  <c r="I32" i="20"/>
  <c r="F32" i="20"/>
  <c r="L42" i="26"/>
  <c r="L44" i="26" s="1"/>
  <c r="L46" i="26" s="1"/>
  <c r="M19" i="48" s="1"/>
  <c r="K11" i="14"/>
  <c r="C99" i="18"/>
  <c r="D25" i="28"/>
  <c r="G32" i="20"/>
  <c r="D32" i="20"/>
  <c r="D18" i="23"/>
  <c r="L35" i="20"/>
  <c r="M32" i="20"/>
  <c r="E23" i="28"/>
  <c r="I35" i="20"/>
  <c r="J21" i="48" s="1"/>
  <c r="E32" i="20"/>
  <c r="J32" i="20"/>
  <c r="K18" i="23"/>
  <c r="H32" i="20"/>
  <c r="H18" i="23"/>
  <c r="K32" i="20"/>
  <c r="F40" i="20"/>
  <c r="I42" i="26"/>
  <c r="I44" i="26" s="1"/>
  <c r="I46" i="26" s="1"/>
  <c r="M42" i="26"/>
  <c r="M44" i="26" s="1"/>
  <c r="M46" i="26" s="1"/>
  <c r="K42" i="26"/>
  <c r="K44" i="26" s="1"/>
  <c r="K46" i="26" s="1"/>
  <c r="L19" i="48" s="1"/>
  <c r="C44" i="26"/>
  <c r="F42" i="26"/>
  <c r="F44" i="26" s="1"/>
  <c r="F46" i="26" s="1"/>
  <c r="G19" i="48" s="1"/>
  <c r="G42" i="26"/>
  <c r="G44" i="26" s="1"/>
  <c r="H42" i="26"/>
  <c r="H44" i="26" s="1"/>
  <c r="H46" i="26" s="1"/>
  <c r="D42" i="26"/>
  <c r="D44" i="26" s="1"/>
  <c r="D46" i="26" s="1"/>
  <c r="E19" i="48" s="1"/>
  <c r="J27" i="28"/>
  <c r="F6" i="37"/>
  <c r="J24" i="28"/>
  <c r="G17" i="28"/>
  <c r="L11" i="14"/>
  <c r="L58" i="14" s="1"/>
  <c r="L59" i="14" s="1"/>
  <c r="L60" i="14" s="1"/>
  <c r="M15" i="14"/>
  <c r="M11" i="14" s="1"/>
  <c r="M58" i="14" s="1"/>
  <c r="M59" i="14" s="1"/>
  <c r="M60" i="14" s="1"/>
  <c r="F32" i="19"/>
  <c r="J10" i="19"/>
  <c r="D35" i="19"/>
  <c r="D37" i="19" s="1"/>
  <c r="E6" i="48" s="1"/>
  <c r="G32" i="19"/>
  <c r="I20" i="19"/>
  <c r="J19" i="19"/>
  <c r="K20" i="19" s="1"/>
  <c r="I4" i="19"/>
  <c r="I14" i="19" s="1"/>
  <c r="H23" i="19"/>
  <c r="H34" i="19" s="1"/>
  <c r="H39" i="19"/>
  <c r="H41" i="19" s="1"/>
  <c r="C7" i="36"/>
  <c r="J6" i="36"/>
  <c r="E27" i="28" s="1"/>
  <c r="K50" i="28"/>
  <c r="K58" i="28" s="1"/>
  <c r="K68" i="28" s="1"/>
  <c r="L53" i="14"/>
  <c r="J53" i="14"/>
  <c r="K53" i="14"/>
  <c r="M53" i="14"/>
  <c r="F20" i="14"/>
  <c r="G20" i="14" s="1"/>
  <c r="K29" i="28"/>
  <c r="H7" i="37"/>
  <c r="D19" i="15"/>
  <c r="H7" i="28"/>
  <c r="G48" i="26"/>
  <c r="E49" i="46"/>
  <c r="F22" i="28"/>
  <c r="G96" i="22"/>
  <c r="H23" i="28"/>
  <c r="H39" i="26"/>
  <c r="H40" i="26" s="1"/>
  <c r="I7" i="48" s="1"/>
  <c r="E22" i="22"/>
  <c r="E23" i="22"/>
  <c r="E24" i="22"/>
  <c r="D26" i="23"/>
  <c r="E24" i="28"/>
  <c r="H40" i="20"/>
  <c r="I21" i="28"/>
  <c r="F39" i="26"/>
  <c r="F40" i="26" s="1"/>
  <c r="G7" i="48" s="1"/>
  <c r="G10" i="26"/>
  <c r="F19" i="22"/>
  <c r="G18" i="22"/>
  <c r="K46" i="22"/>
  <c r="L45" i="22"/>
  <c r="N7" i="28"/>
  <c r="M48" i="26"/>
  <c r="M49" i="26" s="1"/>
  <c r="M50" i="26" s="1"/>
  <c r="D40" i="20"/>
  <c r="D41" i="20" s="1"/>
  <c r="E21" i="28"/>
  <c r="F96" i="22"/>
  <c r="G23" i="28"/>
  <c r="K26" i="23"/>
  <c r="L24" i="28"/>
  <c r="G40" i="20"/>
  <c r="H21" i="28"/>
  <c r="M40" i="20"/>
  <c r="N21" i="28"/>
  <c r="M26" i="23"/>
  <c r="N24" i="28"/>
  <c r="J39" i="26"/>
  <c r="J40" i="26" s="1"/>
  <c r="K7" i="48" s="1"/>
  <c r="K19" i="46"/>
  <c r="L18" i="46"/>
  <c r="H30" i="26"/>
  <c r="J36" i="22"/>
  <c r="I37" i="22"/>
  <c r="L39" i="26"/>
  <c r="L40" i="26" s="1"/>
  <c r="M7" i="48" s="1"/>
  <c r="K55" i="22"/>
  <c r="L54" i="22"/>
  <c r="G20" i="26"/>
  <c r="E7" i="28"/>
  <c r="D48" i="26"/>
  <c r="J26" i="23"/>
  <c r="K24" i="28"/>
  <c r="E39" i="26"/>
  <c r="E40" i="26" s="1"/>
  <c r="F7" i="48" s="1"/>
  <c r="H40" i="14"/>
  <c r="I40" i="14" s="1"/>
  <c r="H26" i="23"/>
  <c r="I24" i="28"/>
  <c r="J51" i="26"/>
  <c r="K19" i="28"/>
  <c r="K39" i="26"/>
  <c r="K40" i="26" s="1"/>
  <c r="L7" i="48" s="1"/>
  <c r="I39" i="26"/>
  <c r="I40" i="26" s="1"/>
  <c r="J7" i="48" s="1"/>
  <c r="G10" i="14"/>
  <c r="C23" i="23"/>
  <c r="D12" i="28"/>
  <c r="C46" i="19"/>
  <c r="C47" i="19" s="1"/>
  <c r="D18" i="28"/>
  <c r="D23" i="23"/>
  <c r="K59" i="32"/>
  <c r="K58" i="32"/>
  <c r="L45" i="32"/>
  <c r="M46" i="32"/>
  <c r="M60" i="32" s="1"/>
  <c r="L60" i="32"/>
  <c r="J40" i="32"/>
  <c r="J41" i="32"/>
  <c r="K27" i="32"/>
  <c r="L28" i="32"/>
  <c r="K42" i="32"/>
  <c r="E73" i="32"/>
  <c r="E77" i="32" s="1"/>
  <c r="H22" i="32"/>
  <c r="H62" i="32" s="1"/>
  <c r="I9" i="32"/>
  <c r="H23" i="32"/>
  <c r="H63" i="32" s="1"/>
  <c r="F24" i="32"/>
  <c r="F64" i="32" s="1"/>
  <c r="F65" i="32" s="1"/>
  <c r="G14" i="28" s="1"/>
  <c r="G10" i="32"/>
  <c r="M47" i="18"/>
  <c r="G63" i="18"/>
  <c r="H48" i="18"/>
  <c r="F86" i="18"/>
  <c r="G24" i="18"/>
  <c r="G78" i="18"/>
  <c r="G82" i="18" s="1"/>
  <c r="G77" i="18"/>
  <c r="G80" i="18" s="1"/>
  <c r="G58" i="18"/>
  <c r="G40" i="18"/>
  <c r="G21" i="18"/>
  <c r="G25" i="18" s="1"/>
  <c r="G11" i="18"/>
  <c r="G39" i="18"/>
  <c r="G59" i="18"/>
  <c r="G20" i="18"/>
  <c r="G23" i="18" s="1"/>
  <c r="H4" i="18"/>
  <c r="G90" i="18"/>
  <c r="G92" i="18" s="1"/>
  <c r="F42" i="18"/>
  <c r="G28" i="18"/>
  <c r="I67" i="18"/>
  <c r="K10" i="18"/>
  <c r="F87" i="18"/>
  <c r="J9" i="18"/>
  <c r="I66" i="18"/>
  <c r="L29" i="18"/>
  <c r="D49" i="18"/>
  <c r="D41" i="18"/>
  <c r="K28" i="18"/>
  <c r="F61" i="18"/>
  <c r="G47" i="18"/>
  <c r="F30" i="18"/>
  <c r="F49" i="18" s="1"/>
  <c r="F68" i="18" s="1"/>
  <c r="F79" i="18" s="1"/>
  <c r="F22" i="18"/>
  <c r="F94" i="18"/>
  <c r="G25" i="48" s="1"/>
  <c r="G44" i="18"/>
  <c r="I33" i="37" l="1"/>
  <c r="F75" i="48"/>
  <c r="E75" i="48" s="1"/>
  <c r="C100" i="18"/>
  <c r="G18" i="28"/>
  <c r="G18" i="48"/>
  <c r="E46" i="19"/>
  <c r="F18" i="48"/>
  <c r="F5" i="28"/>
  <c r="F5" i="48"/>
  <c r="M71" i="14"/>
  <c r="N17" i="48"/>
  <c r="I17" i="28"/>
  <c r="I17" i="48"/>
  <c r="D10" i="28"/>
  <c r="D10" i="48"/>
  <c r="J12" i="28"/>
  <c r="J12" i="48"/>
  <c r="E10" i="28"/>
  <c r="E10" i="48"/>
  <c r="F49" i="46"/>
  <c r="G22" i="48"/>
  <c r="L71" i="14"/>
  <c r="M17" i="48"/>
  <c r="N5" i="28"/>
  <c r="N5" i="48"/>
  <c r="N19" i="28"/>
  <c r="N19" i="48"/>
  <c r="M21" i="28"/>
  <c r="M21" i="48"/>
  <c r="F76" i="48" s="1"/>
  <c r="E76" i="48" s="1"/>
  <c r="E51" i="26"/>
  <c r="F19" i="48"/>
  <c r="D22" i="28"/>
  <c r="D22" i="48"/>
  <c r="G46" i="19"/>
  <c r="H18" i="48"/>
  <c r="G5" i="28"/>
  <c r="G5" i="48"/>
  <c r="G71" i="14"/>
  <c r="H17" i="48"/>
  <c r="J17" i="28"/>
  <c r="J17" i="48"/>
  <c r="K12" i="28"/>
  <c r="K12" i="48"/>
  <c r="H12" i="28"/>
  <c r="H12" i="48"/>
  <c r="D11" i="28"/>
  <c r="D11" i="48"/>
  <c r="M5" i="28"/>
  <c r="M5" i="48"/>
  <c r="J19" i="28"/>
  <c r="J19" i="48"/>
  <c r="G26" i="23"/>
  <c r="H24" i="48"/>
  <c r="F79" i="48" s="1"/>
  <c r="E79" i="48" s="1"/>
  <c r="J5" i="28"/>
  <c r="J5" i="48"/>
  <c r="H5" i="28"/>
  <c r="H5" i="48"/>
  <c r="K17" i="28"/>
  <c r="K17" i="48"/>
  <c r="D71" i="14"/>
  <c r="E17" i="48"/>
  <c r="N12" i="28"/>
  <c r="N12" i="48"/>
  <c r="I12" i="28"/>
  <c r="I12" i="48"/>
  <c r="L5" i="28"/>
  <c r="L5" i="48"/>
  <c r="H51" i="26"/>
  <c r="I19" i="48"/>
  <c r="E18" i="28"/>
  <c r="E18" i="48"/>
  <c r="K5" i="28"/>
  <c r="K5" i="48"/>
  <c r="E71" i="14"/>
  <c r="F17" i="48"/>
  <c r="F31" i="48" s="1"/>
  <c r="F36" i="48" s="1"/>
  <c r="C71" i="14"/>
  <c r="C72" i="14" s="1"/>
  <c r="D17" i="48"/>
  <c r="L12" i="28"/>
  <c r="L12" i="48"/>
  <c r="M12" i="28"/>
  <c r="M12" i="48"/>
  <c r="G30" i="14"/>
  <c r="H30" i="14" s="1"/>
  <c r="G23" i="23"/>
  <c r="F15" i="23"/>
  <c r="I23" i="23"/>
  <c r="I27" i="23" s="1"/>
  <c r="J23" i="23"/>
  <c r="J27" i="23" s="1"/>
  <c r="F51" i="22"/>
  <c r="F50" i="22"/>
  <c r="F40" i="22"/>
  <c r="K72" i="22"/>
  <c r="J73" i="22"/>
  <c r="G41" i="22"/>
  <c r="G42" i="22"/>
  <c r="F49" i="22"/>
  <c r="F42" i="22"/>
  <c r="F41" i="22"/>
  <c r="G64" i="22"/>
  <c r="H63" i="22"/>
  <c r="G75" i="22"/>
  <c r="G76" i="22" s="1"/>
  <c r="G39" i="22"/>
  <c r="G40" i="22" s="1"/>
  <c r="G66" i="22"/>
  <c r="G67" i="22" s="1"/>
  <c r="G21" i="22"/>
  <c r="G48" i="22"/>
  <c r="G57" i="22"/>
  <c r="G58" i="22" s="1"/>
  <c r="G30" i="22"/>
  <c r="G31" i="22" s="1"/>
  <c r="G12" i="22"/>
  <c r="H4" i="22"/>
  <c r="G78" i="22"/>
  <c r="G87" i="22"/>
  <c r="G77" i="22"/>
  <c r="G85" i="22"/>
  <c r="H89" i="22" s="1"/>
  <c r="G86" i="22"/>
  <c r="F69" i="22"/>
  <c r="F68" i="22"/>
  <c r="G46" i="22"/>
  <c r="H45" i="22"/>
  <c r="H46" i="22" s="1"/>
  <c r="F67" i="22"/>
  <c r="F36" i="46"/>
  <c r="I71" i="14"/>
  <c r="F37" i="46"/>
  <c r="E38" i="46"/>
  <c r="C6" i="37"/>
  <c r="G12" i="46"/>
  <c r="G13" i="46" s="1"/>
  <c r="G21" i="46"/>
  <c r="G22" i="46" s="1"/>
  <c r="G30" i="46"/>
  <c r="G31" i="46" s="1"/>
  <c r="H4" i="46"/>
  <c r="G40" i="46"/>
  <c r="G42" i="46" s="1"/>
  <c r="G32" i="46"/>
  <c r="C46" i="46"/>
  <c r="F35" i="46"/>
  <c r="G33" i="46"/>
  <c r="H24" i="46"/>
  <c r="I28" i="46"/>
  <c r="J27" i="46"/>
  <c r="G24" i="46"/>
  <c r="G23" i="46"/>
  <c r="D46" i="46"/>
  <c r="D50" i="46" s="1"/>
  <c r="F10" i="19"/>
  <c r="E11" i="19"/>
  <c r="E34" i="19"/>
  <c r="H23" i="23"/>
  <c r="H27" i="23" s="1"/>
  <c r="M23" i="23"/>
  <c r="M24" i="23" s="1"/>
  <c r="M25" i="23" s="1"/>
  <c r="L23" i="23"/>
  <c r="L27" i="23" s="1"/>
  <c r="K23" i="23"/>
  <c r="K27" i="23" s="1"/>
  <c r="F17" i="28"/>
  <c r="H71" i="14"/>
  <c r="K46" i="47"/>
  <c r="K47" i="47" s="1"/>
  <c r="L20" i="28"/>
  <c r="D46" i="47"/>
  <c r="D47" i="47" s="1"/>
  <c r="E20" i="28"/>
  <c r="C46" i="47"/>
  <c r="C47" i="47" s="1"/>
  <c r="D20" i="28"/>
  <c r="J46" i="47"/>
  <c r="J47" i="47" s="1"/>
  <c r="K20" i="28"/>
  <c r="G46" i="47"/>
  <c r="H20" i="28"/>
  <c r="E46" i="47"/>
  <c r="F20" i="28"/>
  <c r="M46" i="47"/>
  <c r="M47" i="47" s="1"/>
  <c r="N20" i="28"/>
  <c r="I46" i="47"/>
  <c r="I47" i="47" s="1"/>
  <c r="J20" i="28"/>
  <c r="L46" i="47"/>
  <c r="L47" i="47" s="1"/>
  <c r="M20" i="28"/>
  <c r="H46" i="47"/>
  <c r="H47" i="47" s="1"/>
  <c r="I20" i="28"/>
  <c r="F46" i="47"/>
  <c r="G20" i="28"/>
  <c r="F68" i="14"/>
  <c r="F72" i="14" s="1"/>
  <c r="H63" i="14"/>
  <c r="J71" i="14"/>
  <c r="N17" i="28"/>
  <c r="C63" i="14"/>
  <c r="E17" i="28"/>
  <c r="D63" i="14"/>
  <c r="D40" i="47"/>
  <c r="H17" i="28"/>
  <c r="C40" i="47"/>
  <c r="K40" i="47"/>
  <c r="K63" i="14"/>
  <c r="E63" i="14"/>
  <c r="F40" i="47"/>
  <c r="G63" i="14"/>
  <c r="M40" i="47"/>
  <c r="L40" i="47"/>
  <c r="J63" i="14"/>
  <c r="L63" i="14"/>
  <c r="J40" i="47"/>
  <c r="G40" i="47"/>
  <c r="I40" i="47"/>
  <c r="J68" i="14"/>
  <c r="F63" i="14"/>
  <c r="M63" i="14"/>
  <c r="I63" i="14"/>
  <c r="E40" i="47"/>
  <c r="H40" i="47"/>
  <c r="D17" i="28"/>
  <c r="K71" i="14"/>
  <c r="L17" i="28"/>
  <c r="H18" i="28"/>
  <c r="J11" i="47"/>
  <c r="C27" i="23"/>
  <c r="E37" i="47"/>
  <c r="F8" i="48" s="1"/>
  <c r="F35" i="47"/>
  <c r="F36" i="47"/>
  <c r="J40" i="14"/>
  <c r="K40" i="14" s="1"/>
  <c r="H11" i="47"/>
  <c r="G34" i="47"/>
  <c r="G11" i="47"/>
  <c r="K11" i="47"/>
  <c r="L11" i="47"/>
  <c r="I11" i="47"/>
  <c r="G32" i="22"/>
  <c r="G33" i="22"/>
  <c r="H28" i="22"/>
  <c r="I27" i="22"/>
  <c r="F10" i="22"/>
  <c r="G9" i="22"/>
  <c r="I24" i="20"/>
  <c r="J19" i="20"/>
  <c r="I23" i="20"/>
  <c r="I22" i="20"/>
  <c r="D83" i="22"/>
  <c r="E11" i="48" s="1"/>
  <c r="E15" i="22"/>
  <c r="E82" i="22" s="1"/>
  <c r="E13" i="22"/>
  <c r="E80" i="22" s="1"/>
  <c r="E14" i="22"/>
  <c r="E81" i="22" s="1"/>
  <c r="D46" i="19"/>
  <c r="F46" i="19"/>
  <c r="G15" i="46"/>
  <c r="G14" i="46"/>
  <c r="H10" i="46"/>
  <c r="I9" i="46"/>
  <c r="F29" i="20"/>
  <c r="G15" i="20"/>
  <c r="G28" i="20" s="1"/>
  <c r="G13" i="20"/>
  <c r="G26" i="20" s="1"/>
  <c r="H10" i="20"/>
  <c r="G14" i="20"/>
  <c r="G27" i="20" s="1"/>
  <c r="F85" i="18"/>
  <c r="E84" i="18"/>
  <c r="E88" i="18" s="1"/>
  <c r="J50" i="14"/>
  <c r="K50" i="14" s="1"/>
  <c r="L50" i="14" s="1"/>
  <c r="C49" i="46"/>
  <c r="I51" i="26"/>
  <c r="M51" i="26"/>
  <c r="M52" i="26" s="1"/>
  <c r="F19" i="28"/>
  <c r="L40" i="20"/>
  <c r="F18" i="28"/>
  <c r="H24" i="28"/>
  <c r="F79" i="28" s="1"/>
  <c r="E79" i="28" s="1"/>
  <c r="I19" i="28"/>
  <c r="G22" i="28"/>
  <c r="M19" i="28"/>
  <c r="L51" i="26"/>
  <c r="D27" i="23"/>
  <c r="I43" i="26"/>
  <c r="I40" i="20"/>
  <c r="J21" i="28"/>
  <c r="E43" i="26"/>
  <c r="M43" i="26"/>
  <c r="D43" i="26"/>
  <c r="K43" i="26"/>
  <c r="G43" i="26"/>
  <c r="G46" i="26"/>
  <c r="H19" i="48" s="1"/>
  <c r="F43" i="26"/>
  <c r="J43" i="26"/>
  <c r="F51" i="26"/>
  <c r="G19" i="28"/>
  <c r="H43" i="26"/>
  <c r="D51" i="26"/>
  <c r="D52" i="26" s="1"/>
  <c r="E19" i="28"/>
  <c r="C46" i="26"/>
  <c r="D19" i="48" s="1"/>
  <c r="L43" i="26"/>
  <c r="C43" i="26"/>
  <c r="K51" i="26"/>
  <c r="L19" i="28"/>
  <c r="H6" i="37"/>
  <c r="K27" i="28"/>
  <c r="M68" i="14"/>
  <c r="M69" i="14" s="1"/>
  <c r="L68" i="14"/>
  <c r="L72" i="14" s="1"/>
  <c r="J20" i="19"/>
  <c r="L20" i="19"/>
  <c r="E6" i="28"/>
  <c r="D45" i="19"/>
  <c r="M20" i="19"/>
  <c r="H32" i="19"/>
  <c r="I23" i="19"/>
  <c r="I34" i="19" s="1"/>
  <c r="J4" i="19"/>
  <c r="J14" i="19" s="1"/>
  <c r="I39" i="19"/>
  <c r="I41" i="19" s="1"/>
  <c r="H43" i="19"/>
  <c r="I18" i="48" s="1"/>
  <c r="K6" i="36"/>
  <c r="J7" i="36"/>
  <c r="H20" i="14"/>
  <c r="I20" i="14" s="1"/>
  <c r="I7" i="37"/>
  <c r="L29" i="28"/>
  <c r="L7" i="28"/>
  <c r="K48" i="26"/>
  <c r="M7" i="28"/>
  <c r="L48" i="26"/>
  <c r="G7" i="28"/>
  <c r="F48" i="26"/>
  <c r="F7" i="28"/>
  <c r="E48" i="26"/>
  <c r="I5" i="28"/>
  <c r="H68" i="14"/>
  <c r="I30" i="26"/>
  <c r="K7" i="28"/>
  <c r="J48" i="26"/>
  <c r="J52" i="26" s="1"/>
  <c r="H20" i="26"/>
  <c r="I20" i="26" s="1"/>
  <c r="F22" i="22"/>
  <c r="F23" i="22"/>
  <c r="F24" i="22"/>
  <c r="I7" i="28"/>
  <c r="H48" i="26"/>
  <c r="H10" i="14"/>
  <c r="I10" i="14" s="1"/>
  <c r="J7" i="28"/>
  <c r="I48" i="26"/>
  <c r="L55" i="22"/>
  <c r="M54" i="22"/>
  <c r="M55" i="22" s="1"/>
  <c r="M18" i="46"/>
  <c r="M19" i="46" s="1"/>
  <c r="L19" i="46"/>
  <c r="L46" i="22"/>
  <c r="M45" i="22"/>
  <c r="M46" i="22" s="1"/>
  <c r="F99" i="18"/>
  <c r="G25" i="28"/>
  <c r="H10" i="26"/>
  <c r="I10" i="26" s="1"/>
  <c r="E5" i="28"/>
  <c r="D68" i="14"/>
  <c r="K36" i="22"/>
  <c r="J37" i="22"/>
  <c r="G19" i="22"/>
  <c r="H18" i="22"/>
  <c r="G68" i="14"/>
  <c r="I68" i="14"/>
  <c r="E68" i="14"/>
  <c r="K68" i="14"/>
  <c r="L58" i="32"/>
  <c r="L59" i="32"/>
  <c r="M45" i="32"/>
  <c r="L42" i="32"/>
  <c r="M28" i="32"/>
  <c r="M42" i="32" s="1"/>
  <c r="K40" i="32"/>
  <c r="K41" i="32"/>
  <c r="L27" i="32"/>
  <c r="F73" i="32"/>
  <c r="F77" i="32" s="1"/>
  <c r="G24" i="32"/>
  <c r="G64" i="32" s="1"/>
  <c r="G65" i="32" s="1"/>
  <c r="H14" i="28" s="1"/>
  <c r="H10" i="32"/>
  <c r="I22" i="32"/>
  <c r="I62" i="32" s="1"/>
  <c r="J9" i="32"/>
  <c r="I23" i="32"/>
  <c r="I63" i="32" s="1"/>
  <c r="D68" i="18"/>
  <c r="D79" i="18" s="1"/>
  <c r="D60" i="18"/>
  <c r="G94" i="18"/>
  <c r="H25" i="48" s="1"/>
  <c r="F60" i="18"/>
  <c r="M29" i="18"/>
  <c r="J66" i="18"/>
  <c r="J67" i="18"/>
  <c r="F41" i="18"/>
  <c r="F84" i="18" s="1"/>
  <c r="H78" i="18"/>
  <c r="H82" i="18" s="1"/>
  <c r="H59" i="18"/>
  <c r="H40" i="18"/>
  <c r="H44" i="18" s="1"/>
  <c r="H90" i="18"/>
  <c r="H92" i="18" s="1"/>
  <c r="H77" i="18"/>
  <c r="H80" i="18" s="1"/>
  <c r="H58" i="18"/>
  <c r="H39" i="18"/>
  <c r="H42" i="18" s="1"/>
  <c r="H20" i="18"/>
  <c r="H23" i="18" s="1"/>
  <c r="H11" i="18"/>
  <c r="I4" i="18"/>
  <c r="H21" i="18"/>
  <c r="H25" i="18" s="1"/>
  <c r="H63" i="18"/>
  <c r="G61" i="18"/>
  <c r="H47" i="18"/>
  <c r="G42" i="18"/>
  <c r="G87" i="18"/>
  <c r="K9" i="18"/>
  <c r="G86" i="18"/>
  <c r="H24" i="18"/>
  <c r="L28" i="18"/>
  <c r="L10" i="18"/>
  <c r="G30" i="18"/>
  <c r="G49" i="18" s="1"/>
  <c r="G68" i="18" s="1"/>
  <c r="G79" i="18" s="1"/>
  <c r="G22" i="18"/>
  <c r="F76" i="28" l="1"/>
  <c r="E76" i="28" s="1"/>
  <c r="D15" i="28"/>
  <c r="J33" i="37"/>
  <c r="K33" i="37"/>
  <c r="E72" i="14"/>
  <c r="G72" i="14"/>
  <c r="G27" i="23"/>
  <c r="D72" i="14"/>
  <c r="F74" i="48"/>
  <c r="E74" i="48" s="1"/>
  <c r="G31" i="48"/>
  <c r="G36" i="48" s="1"/>
  <c r="H52" i="26"/>
  <c r="E96" i="18"/>
  <c r="E100" i="18" s="1"/>
  <c r="F13" i="48"/>
  <c r="E52" i="26"/>
  <c r="E31" i="48"/>
  <c r="E36" i="48" s="1"/>
  <c r="F10" i="28"/>
  <c r="F10" i="48"/>
  <c r="F72" i="48"/>
  <c r="D31" i="48"/>
  <c r="D36" i="48" s="1"/>
  <c r="G12" i="28"/>
  <c r="G12" i="48"/>
  <c r="D15" i="48"/>
  <c r="D33" i="48" s="1"/>
  <c r="I72" i="14"/>
  <c r="I30" i="14"/>
  <c r="J30" i="14" s="1"/>
  <c r="F23" i="23"/>
  <c r="F27" i="23" s="1"/>
  <c r="M27" i="23"/>
  <c r="H50" i="22"/>
  <c r="H51" i="22"/>
  <c r="G51" i="22"/>
  <c r="G50" i="22"/>
  <c r="H91" i="22"/>
  <c r="I23" i="48" s="1"/>
  <c r="H66" i="22"/>
  <c r="H21" i="22"/>
  <c r="H48" i="22"/>
  <c r="H49" i="22" s="1"/>
  <c r="H57" i="22"/>
  <c r="H58" i="22" s="1"/>
  <c r="H30" i="22"/>
  <c r="H31" i="22" s="1"/>
  <c r="H12" i="22"/>
  <c r="I4" i="22"/>
  <c r="H75" i="22"/>
  <c r="H76" i="22" s="1"/>
  <c r="H39" i="22"/>
  <c r="H40" i="22" s="1"/>
  <c r="H85" i="22"/>
  <c r="I89" i="22" s="1"/>
  <c r="H87" i="22"/>
  <c r="H86" i="22"/>
  <c r="H78" i="22"/>
  <c r="H41" i="22"/>
  <c r="H77" i="22"/>
  <c r="H42" i="22"/>
  <c r="G49" i="22"/>
  <c r="H64" i="22"/>
  <c r="I63" i="22"/>
  <c r="K73" i="22"/>
  <c r="L72" i="22"/>
  <c r="L73" i="22" s="1"/>
  <c r="H60" i="22"/>
  <c r="G69" i="22"/>
  <c r="G68" i="22"/>
  <c r="H59" i="22"/>
  <c r="E46" i="46"/>
  <c r="E50" i="46" s="1"/>
  <c r="C50" i="46"/>
  <c r="F38" i="46"/>
  <c r="G44" i="46"/>
  <c r="H22" i="48" s="1"/>
  <c r="G36" i="46"/>
  <c r="H21" i="46"/>
  <c r="H22" i="46" s="1"/>
  <c r="H30" i="46"/>
  <c r="H31" i="46" s="1"/>
  <c r="I4" i="46"/>
  <c r="H12" i="46"/>
  <c r="H13" i="46" s="1"/>
  <c r="H40" i="46"/>
  <c r="H42" i="46" s="1"/>
  <c r="H32" i="46"/>
  <c r="G35" i="46"/>
  <c r="J28" i="46"/>
  <c r="K27" i="46"/>
  <c r="G37" i="46"/>
  <c r="H23" i="46"/>
  <c r="H33" i="46"/>
  <c r="E36" i="19"/>
  <c r="E35" i="19"/>
  <c r="G10" i="19"/>
  <c r="G11" i="19" s="1"/>
  <c r="F34" i="19"/>
  <c r="F11" i="19"/>
  <c r="H72" i="14"/>
  <c r="B24" i="37"/>
  <c r="D33" i="28"/>
  <c r="C8" i="37"/>
  <c r="C10" i="37" s="1"/>
  <c r="J72" i="14"/>
  <c r="F75" i="28"/>
  <c r="E75" i="28" s="1"/>
  <c r="F88" i="18"/>
  <c r="E31" i="28"/>
  <c r="E36" i="28" s="1"/>
  <c r="E45" i="47"/>
  <c r="E47" i="47" s="1"/>
  <c r="F8" i="28"/>
  <c r="I52" i="26"/>
  <c r="K72" i="14"/>
  <c r="F72" i="28"/>
  <c r="L40" i="14"/>
  <c r="M40" i="14" s="1"/>
  <c r="D47" i="19"/>
  <c r="G36" i="47"/>
  <c r="G35" i="47"/>
  <c r="F37" i="47"/>
  <c r="G8" i="48" s="1"/>
  <c r="H33" i="22"/>
  <c r="H32" i="22"/>
  <c r="E83" i="22"/>
  <c r="J27" i="22"/>
  <c r="I28" i="22"/>
  <c r="D93" i="22"/>
  <c r="D97" i="22" s="1"/>
  <c r="E11" i="28"/>
  <c r="K19" i="20"/>
  <c r="J23" i="20"/>
  <c r="J22" i="20"/>
  <c r="J24" i="20"/>
  <c r="G10" i="22"/>
  <c r="H9" i="22"/>
  <c r="F14" i="22"/>
  <c r="F81" i="22" s="1"/>
  <c r="F15" i="22"/>
  <c r="F82" i="22" s="1"/>
  <c r="F13" i="22"/>
  <c r="F80" i="22" s="1"/>
  <c r="I10" i="46"/>
  <c r="J9" i="46"/>
  <c r="L52" i="26"/>
  <c r="F13" i="28"/>
  <c r="H14" i="46"/>
  <c r="H15" i="46"/>
  <c r="G29" i="20"/>
  <c r="H14" i="20"/>
  <c r="H27" i="20" s="1"/>
  <c r="H15" i="20"/>
  <c r="H28" i="20" s="1"/>
  <c r="I10" i="20"/>
  <c r="H13" i="20"/>
  <c r="H26" i="20" s="1"/>
  <c r="G9" i="28"/>
  <c r="F37" i="20"/>
  <c r="F41" i="20" s="1"/>
  <c r="F31" i="28"/>
  <c r="F36" i="28" s="1"/>
  <c r="G85" i="18"/>
  <c r="M50" i="14"/>
  <c r="D84" i="18"/>
  <c r="D88" i="18" s="1"/>
  <c r="D8" i="37"/>
  <c r="D10" i="37" s="1"/>
  <c r="G41" i="18"/>
  <c r="K52" i="26"/>
  <c r="F52" i="26"/>
  <c r="H19" i="28"/>
  <c r="G51" i="26"/>
  <c r="G52" i="26" s="1"/>
  <c r="C51" i="26"/>
  <c r="C52" i="26" s="1"/>
  <c r="D19" i="28"/>
  <c r="D31" i="28" s="1"/>
  <c r="I6" i="37"/>
  <c r="L27" i="28"/>
  <c r="J10" i="14"/>
  <c r="H46" i="19"/>
  <c r="I18" i="28"/>
  <c r="I43" i="19"/>
  <c r="J18" i="48" s="1"/>
  <c r="K4" i="19"/>
  <c r="K14" i="19" s="1"/>
  <c r="J23" i="19"/>
  <c r="J34" i="19" s="1"/>
  <c r="J39" i="19"/>
  <c r="J41" i="19" s="1"/>
  <c r="I32" i="19"/>
  <c r="H36" i="19"/>
  <c r="H35" i="19"/>
  <c r="K7" i="36"/>
  <c r="J20" i="14"/>
  <c r="K20" i="14" s="1"/>
  <c r="M29" i="28"/>
  <c r="J7" i="37"/>
  <c r="M70" i="14"/>
  <c r="M72" i="14" s="1"/>
  <c r="E8" i="37"/>
  <c r="E10" i="37" s="1"/>
  <c r="J30" i="26"/>
  <c r="K30" i="26" s="1"/>
  <c r="L30" i="26" s="1"/>
  <c r="G23" i="22"/>
  <c r="G24" i="22"/>
  <c r="G22" i="22"/>
  <c r="G99" i="18"/>
  <c r="H25" i="28"/>
  <c r="K37" i="22"/>
  <c r="L36" i="22"/>
  <c r="I18" i="22"/>
  <c r="H19" i="22"/>
  <c r="J10" i="26"/>
  <c r="G31" i="28"/>
  <c r="G36" i="28" s="1"/>
  <c r="J20" i="26"/>
  <c r="K20" i="26" s="1"/>
  <c r="L20" i="26" s="1"/>
  <c r="M20" i="26" s="1"/>
  <c r="M58" i="32"/>
  <c r="M59" i="32"/>
  <c r="L40" i="32"/>
  <c r="L41" i="32"/>
  <c r="M27" i="32"/>
  <c r="J22" i="32"/>
  <c r="J62" i="32" s="1"/>
  <c r="K9" i="32"/>
  <c r="J23" i="32"/>
  <c r="J63" i="32" s="1"/>
  <c r="G73" i="32"/>
  <c r="G77" i="32" s="1"/>
  <c r="H24" i="32"/>
  <c r="H64" i="32" s="1"/>
  <c r="H65" i="32" s="1"/>
  <c r="I14" i="28" s="1"/>
  <c r="I10" i="32"/>
  <c r="M10" i="18"/>
  <c r="H87" i="18"/>
  <c r="K67" i="18"/>
  <c r="K66" i="18"/>
  <c r="L9" i="18"/>
  <c r="G60" i="18"/>
  <c r="I90" i="18"/>
  <c r="I92" i="18" s="1"/>
  <c r="I77" i="18"/>
  <c r="I80" i="18" s="1"/>
  <c r="I39" i="18"/>
  <c r="I42" i="18" s="1"/>
  <c r="I78" i="18"/>
  <c r="I82" i="18" s="1"/>
  <c r="J4" i="18"/>
  <c r="I59" i="18"/>
  <c r="I63" i="18" s="1"/>
  <c r="I21" i="18"/>
  <c r="I25" i="18" s="1"/>
  <c r="I20" i="18"/>
  <c r="I23" i="18" s="1"/>
  <c r="I58" i="18"/>
  <c r="I61" i="18" s="1"/>
  <c r="I40" i="18"/>
  <c r="I44" i="18" s="1"/>
  <c r="I11" i="18"/>
  <c r="H30" i="18"/>
  <c r="H22" i="18"/>
  <c r="M28" i="18"/>
  <c r="H86" i="18"/>
  <c r="I24" i="18"/>
  <c r="H61" i="18"/>
  <c r="H85" i="18" s="1"/>
  <c r="H94" i="18"/>
  <c r="I25" i="48" s="1"/>
  <c r="D37" i="48" l="1"/>
  <c r="E93" i="22"/>
  <c r="E97" i="22" s="1"/>
  <c r="F11" i="48"/>
  <c r="G10" i="28"/>
  <c r="G10" i="48"/>
  <c r="H31" i="48"/>
  <c r="H36" i="48" s="1"/>
  <c r="E72" i="48"/>
  <c r="D96" i="18"/>
  <c r="D100" i="18" s="1"/>
  <c r="E13" i="48"/>
  <c r="E15" i="48" s="1"/>
  <c r="E33" i="48" s="1"/>
  <c r="E37" i="48" s="1"/>
  <c r="F96" i="18"/>
  <c r="F100" i="18" s="1"/>
  <c r="G13" i="48"/>
  <c r="C29" i="23"/>
  <c r="C28" i="23"/>
  <c r="F46" i="46"/>
  <c r="F50" i="46" s="1"/>
  <c r="K30" i="14"/>
  <c r="L30" i="14" s="1"/>
  <c r="M30" i="14" s="1"/>
  <c r="I64" i="22"/>
  <c r="J63" i="22"/>
  <c r="H67" i="22"/>
  <c r="H68" i="22"/>
  <c r="H69" i="22"/>
  <c r="I48" i="22"/>
  <c r="I49" i="22" s="1"/>
  <c r="I57" i="22"/>
  <c r="I58" i="22" s="1"/>
  <c r="I30" i="22"/>
  <c r="I12" i="22"/>
  <c r="J4" i="22"/>
  <c r="I75" i="22"/>
  <c r="I76" i="22" s="1"/>
  <c r="I39" i="22"/>
  <c r="I40" i="22" s="1"/>
  <c r="I66" i="22"/>
  <c r="I67" i="22" s="1"/>
  <c r="I21" i="22"/>
  <c r="I86" i="22"/>
  <c r="I51" i="22"/>
  <c r="I85" i="22"/>
  <c r="J89" i="22" s="1"/>
  <c r="I87" i="22"/>
  <c r="I50" i="22"/>
  <c r="I78" i="22"/>
  <c r="I59" i="22"/>
  <c r="I77" i="22"/>
  <c r="I60" i="22"/>
  <c r="I42" i="22"/>
  <c r="I41" i="22"/>
  <c r="I91" i="22"/>
  <c r="J23" i="48" s="1"/>
  <c r="H96" i="22"/>
  <c r="I23" i="28"/>
  <c r="H36" i="46"/>
  <c r="H35" i="46"/>
  <c r="G38" i="46"/>
  <c r="K28" i="46"/>
  <c r="L27" i="46"/>
  <c r="L28" i="46" s="1"/>
  <c r="J32" i="46"/>
  <c r="H44" i="46"/>
  <c r="I22" i="48" s="1"/>
  <c r="I31" i="48" s="1"/>
  <c r="I36" i="48" s="1"/>
  <c r="I12" i="46"/>
  <c r="I13" i="46" s="1"/>
  <c r="I30" i="46"/>
  <c r="I31" i="46" s="1"/>
  <c r="J4" i="46"/>
  <c r="I21" i="46"/>
  <c r="I22" i="46" s="1"/>
  <c r="I40" i="46"/>
  <c r="I42" i="46" s="1"/>
  <c r="I23" i="46"/>
  <c r="I24" i="46"/>
  <c r="I32" i="46"/>
  <c r="H37" i="46"/>
  <c r="I33" i="46"/>
  <c r="G49" i="46"/>
  <c r="H22" i="28"/>
  <c r="F8" i="37" s="1"/>
  <c r="F10" i="37" s="1"/>
  <c r="E37" i="19"/>
  <c r="G13" i="28"/>
  <c r="I11" i="19"/>
  <c r="H11" i="19"/>
  <c r="G34" i="19"/>
  <c r="K11" i="19"/>
  <c r="M11" i="19"/>
  <c r="L11" i="19"/>
  <c r="J11" i="19"/>
  <c r="F35" i="19"/>
  <c r="F36" i="19"/>
  <c r="E72" i="28"/>
  <c r="F45" i="47"/>
  <c r="F47" i="47" s="1"/>
  <c r="G8" i="28"/>
  <c r="C73" i="14"/>
  <c r="G84" i="18"/>
  <c r="G88" i="18" s="1"/>
  <c r="H13" i="48" s="1"/>
  <c r="G37" i="47"/>
  <c r="H8" i="48" s="1"/>
  <c r="F11" i="28"/>
  <c r="I33" i="22"/>
  <c r="I32" i="22"/>
  <c r="I31" i="22"/>
  <c r="J28" i="22"/>
  <c r="K27" i="22"/>
  <c r="F83" i="22"/>
  <c r="I9" i="22"/>
  <c r="H10" i="22"/>
  <c r="G13" i="22"/>
  <c r="G80" i="22" s="1"/>
  <c r="G14" i="22"/>
  <c r="G81" i="22" s="1"/>
  <c r="G15" i="22"/>
  <c r="G82" i="22" s="1"/>
  <c r="K24" i="20"/>
  <c r="L19" i="20"/>
  <c r="K22" i="20"/>
  <c r="K23" i="20"/>
  <c r="K9" i="46"/>
  <c r="J10" i="46"/>
  <c r="F74" i="28"/>
  <c r="E74" i="28" s="1"/>
  <c r="I14" i="46"/>
  <c r="I15" i="46"/>
  <c r="J10" i="20"/>
  <c r="I14" i="20"/>
  <c r="I27" i="20" s="1"/>
  <c r="I13" i="20"/>
  <c r="I26" i="20" s="1"/>
  <c r="I15" i="20"/>
  <c r="I28" i="20" s="1"/>
  <c r="H29" i="20"/>
  <c r="H9" i="28"/>
  <c r="G37" i="20"/>
  <c r="G41" i="20" s="1"/>
  <c r="E13" i="28"/>
  <c r="E15" i="28" s="1"/>
  <c r="C24" i="37" s="1"/>
  <c r="C54" i="26"/>
  <c r="C53" i="26"/>
  <c r="B8" i="37"/>
  <c r="J6" i="37"/>
  <c r="M27" i="28"/>
  <c r="K10" i="14"/>
  <c r="L10" i="14" s="1"/>
  <c r="I36" i="19"/>
  <c r="I35" i="19"/>
  <c r="J43" i="19"/>
  <c r="K18" i="48" s="1"/>
  <c r="J32" i="19"/>
  <c r="H37" i="19"/>
  <c r="I6" i="48" s="1"/>
  <c r="K23" i="19"/>
  <c r="K34" i="19" s="1"/>
  <c r="L4" i="19"/>
  <c r="L14" i="19" s="1"/>
  <c r="K39" i="19"/>
  <c r="K41" i="19" s="1"/>
  <c r="I46" i="19"/>
  <c r="J18" i="28"/>
  <c r="B6" i="37"/>
  <c r="D36" i="28"/>
  <c r="D38" i="28" s="1"/>
  <c r="L20" i="14"/>
  <c r="M20" i="14" s="1"/>
  <c r="K7" i="37"/>
  <c r="N29" i="28"/>
  <c r="F82" i="28" s="1"/>
  <c r="J18" i="22"/>
  <c r="I19" i="22"/>
  <c r="H99" i="18"/>
  <c r="I25" i="28"/>
  <c r="M30" i="26"/>
  <c r="K10" i="26"/>
  <c r="L10" i="26" s="1"/>
  <c r="M10" i="26" s="1"/>
  <c r="H24" i="22"/>
  <c r="H23" i="22"/>
  <c r="H22" i="22"/>
  <c r="L37" i="22"/>
  <c r="M36" i="22"/>
  <c r="M37" i="22" s="1"/>
  <c r="C74" i="14"/>
  <c r="M41" i="32"/>
  <c r="M40" i="32"/>
  <c r="H73" i="32"/>
  <c r="H77" i="32" s="1"/>
  <c r="K23" i="32"/>
  <c r="K63" i="32" s="1"/>
  <c r="K22" i="32"/>
  <c r="K62" i="32" s="1"/>
  <c r="L9" i="32"/>
  <c r="I24" i="32"/>
  <c r="I64" i="32" s="1"/>
  <c r="I65" i="32" s="1"/>
  <c r="J14" i="28" s="1"/>
  <c r="J10" i="32"/>
  <c r="H49" i="18"/>
  <c r="H41" i="18"/>
  <c r="I94" i="18"/>
  <c r="J25" i="48" s="1"/>
  <c r="L66" i="18"/>
  <c r="I86" i="18"/>
  <c r="J24" i="18"/>
  <c r="I85" i="18"/>
  <c r="L67" i="18"/>
  <c r="I30" i="18"/>
  <c r="I22" i="18"/>
  <c r="I87" i="18"/>
  <c r="M9" i="18"/>
  <c r="J77" i="18"/>
  <c r="J80" i="18" s="1"/>
  <c r="J58" i="18"/>
  <c r="J61" i="18" s="1"/>
  <c r="J39" i="18"/>
  <c r="J42" i="18" s="1"/>
  <c r="J78" i="18"/>
  <c r="J82" i="18" s="1"/>
  <c r="J59" i="18"/>
  <c r="J63" i="18" s="1"/>
  <c r="J40" i="18"/>
  <c r="J44" i="18" s="1"/>
  <c r="J21" i="18"/>
  <c r="J25" i="18" s="1"/>
  <c r="K4" i="18"/>
  <c r="J20" i="18"/>
  <c r="J23" i="18" s="1"/>
  <c r="J11" i="18"/>
  <c r="J90" i="18"/>
  <c r="J92" i="18" s="1"/>
  <c r="G11" i="28" l="1"/>
  <c r="G11" i="48"/>
  <c r="G46" i="46"/>
  <c r="G50" i="46" s="1"/>
  <c r="H10" i="48"/>
  <c r="E45" i="19"/>
  <c r="E47" i="19" s="1"/>
  <c r="F6" i="48"/>
  <c r="F15" i="48" s="1"/>
  <c r="F33" i="48" s="1"/>
  <c r="F37" i="48" s="1"/>
  <c r="H10" i="28"/>
  <c r="H38" i="46"/>
  <c r="H46" i="46" s="1"/>
  <c r="H31" i="28"/>
  <c r="H36" i="28" s="1"/>
  <c r="J57" i="22"/>
  <c r="J58" i="22" s="1"/>
  <c r="J30" i="22"/>
  <c r="J31" i="22" s="1"/>
  <c r="J12" i="22"/>
  <c r="K4" i="22"/>
  <c r="J75" i="22"/>
  <c r="J76" i="22" s="1"/>
  <c r="J39" i="22"/>
  <c r="J40" i="22" s="1"/>
  <c r="J66" i="22"/>
  <c r="J21" i="22"/>
  <c r="J48" i="22"/>
  <c r="J49" i="22" s="1"/>
  <c r="J87" i="22"/>
  <c r="J86" i="22"/>
  <c r="J85" i="22"/>
  <c r="K89" i="22" s="1"/>
  <c r="J60" i="22"/>
  <c r="J50" i="22"/>
  <c r="J59" i="22"/>
  <c r="J51" i="22"/>
  <c r="J77" i="22"/>
  <c r="J78" i="22"/>
  <c r="J42" i="22"/>
  <c r="J41" i="22"/>
  <c r="I96" i="22"/>
  <c r="J23" i="28"/>
  <c r="J91" i="22"/>
  <c r="K23" i="48" s="1"/>
  <c r="J64" i="22"/>
  <c r="K63" i="22"/>
  <c r="K64" i="22" s="1"/>
  <c r="I69" i="22"/>
  <c r="I68" i="22"/>
  <c r="F6" i="28"/>
  <c r="F15" i="28" s="1"/>
  <c r="F33" i="28" s="1"/>
  <c r="F38" i="28" s="1"/>
  <c r="I37" i="46"/>
  <c r="J30" i="46"/>
  <c r="J31" i="46" s="1"/>
  <c r="K4" i="46"/>
  <c r="J21" i="46"/>
  <c r="J22" i="46" s="1"/>
  <c r="J12" i="46"/>
  <c r="J13" i="46" s="1"/>
  <c r="J40" i="46"/>
  <c r="J42" i="46" s="1"/>
  <c r="J24" i="46"/>
  <c r="J23" i="46"/>
  <c r="J33" i="46"/>
  <c r="I36" i="46"/>
  <c r="I35" i="46"/>
  <c r="I44" i="46"/>
  <c r="J22" i="48" s="1"/>
  <c r="J31" i="48" s="1"/>
  <c r="J36" i="48" s="1"/>
  <c r="I22" i="28"/>
  <c r="I31" i="28" s="1"/>
  <c r="I36" i="28" s="1"/>
  <c r="H49" i="46"/>
  <c r="F37" i="19"/>
  <c r="G36" i="19"/>
  <c r="G35" i="19"/>
  <c r="F93" i="22"/>
  <c r="F97" i="22" s="1"/>
  <c r="G45" i="47"/>
  <c r="G47" i="47" s="1"/>
  <c r="H8" i="28"/>
  <c r="G96" i="18"/>
  <c r="G100" i="18" s="1"/>
  <c r="H13" i="28"/>
  <c r="J33" i="22"/>
  <c r="J32" i="22"/>
  <c r="K28" i="22"/>
  <c r="L27" i="22"/>
  <c r="G83" i="22"/>
  <c r="H14" i="22"/>
  <c r="H81" i="22" s="1"/>
  <c r="H13" i="22"/>
  <c r="H80" i="22" s="1"/>
  <c r="H15" i="22"/>
  <c r="H82" i="22" s="1"/>
  <c r="M19" i="20"/>
  <c r="L23" i="20"/>
  <c r="L24" i="20"/>
  <c r="L22" i="20"/>
  <c r="J9" i="22"/>
  <c r="I10" i="22"/>
  <c r="J15" i="46"/>
  <c r="J14" i="46"/>
  <c r="L9" i="46"/>
  <c r="K10" i="46"/>
  <c r="I29" i="20"/>
  <c r="I9" i="28"/>
  <c r="H37" i="20"/>
  <c r="H41" i="20" s="1"/>
  <c r="J13" i="20"/>
  <c r="J26" i="20" s="1"/>
  <c r="J15" i="20"/>
  <c r="J28" i="20" s="1"/>
  <c r="K10" i="20"/>
  <c r="J14" i="20"/>
  <c r="J27" i="20" s="1"/>
  <c r="E33" i="28"/>
  <c r="E38" i="28" s="1"/>
  <c r="B10" i="37"/>
  <c r="B13" i="37" s="1"/>
  <c r="B29" i="37" s="1"/>
  <c r="N27" i="28"/>
  <c r="F81" i="28" s="1"/>
  <c r="C4" i="38" s="1"/>
  <c r="K6" i="37"/>
  <c r="M10" i="14"/>
  <c r="I37" i="19"/>
  <c r="K43" i="19"/>
  <c r="L18" i="48" s="1"/>
  <c r="J36" i="19"/>
  <c r="J35" i="19"/>
  <c r="L23" i="19"/>
  <c r="L34" i="19" s="1"/>
  <c r="M4" i="19"/>
  <c r="M14" i="19" s="1"/>
  <c r="L39" i="19"/>
  <c r="L41" i="19" s="1"/>
  <c r="I6" i="28"/>
  <c r="H45" i="19"/>
  <c r="H47" i="19" s="1"/>
  <c r="K32" i="19"/>
  <c r="K18" i="28"/>
  <c r="J46" i="19"/>
  <c r="L7" i="37"/>
  <c r="M7" i="37" s="1"/>
  <c r="C5" i="38"/>
  <c r="I99" i="18"/>
  <c r="J25" i="28"/>
  <c r="I22" i="22"/>
  <c r="I23" i="22"/>
  <c r="I24" i="22"/>
  <c r="J19" i="22"/>
  <c r="K18" i="22"/>
  <c r="J24" i="32"/>
  <c r="J64" i="32" s="1"/>
  <c r="J65" i="32" s="1"/>
  <c r="K14" i="28" s="1"/>
  <c r="K10" i="32"/>
  <c r="I73" i="32"/>
  <c r="I77" i="32" s="1"/>
  <c r="L22" i="32"/>
  <c r="L62" i="32" s="1"/>
  <c r="M9" i="32"/>
  <c r="L23" i="32"/>
  <c r="L63" i="32" s="1"/>
  <c r="J94" i="18"/>
  <c r="K25" i="48" s="1"/>
  <c r="J30" i="18"/>
  <c r="J22" i="18"/>
  <c r="I49" i="18"/>
  <c r="I41" i="18"/>
  <c r="J86" i="18"/>
  <c r="K24" i="18"/>
  <c r="J85" i="18"/>
  <c r="H68" i="18"/>
  <c r="H79" i="18" s="1"/>
  <c r="H60" i="18"/>
  <c r="K78" i="18"/>
  <c r="K82" i="18" s="1"/>
  <c r="K20" i="18"/>
  <c r="K23" i="18" s="1"/>
  <c r="L4" i="18"/>
  <c r="K59" i="18"/>
  <c r="K63" i="18" s="1"/>
  <c r="K21" i="18"/>
  <c r="K25" i="18" s="1"/>
  <c r="K11" i="18"/>
  <c r="K58" i="18"/>
  <c r="K61" i="18" s="1"/>
  <c r="K40" i="18"/>
  <c r="K44" i="18" s="1"/>
  <c r="K77" i="18"/>
  <c r="K80" i="18" s="1"/>
  <c r="K39" i="18"/>
  <c r="K42" i="18" s="1"/>
  <c r="K90" i="18"/>
  <c r="K92" i="18" s="1"/>
  <c r="J87" i="18"/>
  <c r="J6" i="28" l="1"/>
  <c r="J6" i="48"/>
  <c r="F45" i="19"/>
  <c r="F47" i="19" s="1"/>
  <c r="G6" i="48"/>
  <c r="G15" i="48" s="1"/>
  <c r="G33" i="48" s="1"/>
  <c r="G37" i="48" s="1"/>
  <c r="G93" i="22"/>
  <c r="G97" i="22" s="1"/>
  <c r="H11" i="48"/>
  <c r="I10" i="28"/>
  <c r="I10" i="48"/>
  <c r="J96" i="22"/>
  <c r="K23" i="28"/>
  <c r="K91" i="22"/>
  <c r="L23" i="48" s="1"/>
  <c r="K75" i="22"/>
  <c r="K76" i="22" s="1"/>
  <c r="K39" i="22"/>
  <c r="K40" i="22" s="1"/>
  <c r="K66" i="22"/>
  <c r="K67" i="22" s="1"/>
  <c r="K21" i="22"/>
  <c r="K48" i="22"/>
  <c r="K49" i="22" s="1"/>
  <c r="K57" i="22"/>
  <c r="K58" i="22" s="1"/>
  <c r="K30" i="22"/>
  <c r="K31" i="22" s="1"/>
  <c r="K12" i="22"/>
  <c r="L4" i="22"/>
  <c r="K85" i="22"/>
  <c r="L89" i="22" s="1"/>
  <c r="K87" i="22"/>
  <c r="K86" i="22"/>
  <c r="K59" i="22"/>
  <c r="K50" i="22"/>
  <c r="K51" i="22"/>
  <c r="K60" i="22"/>
  <c r="K77" i="22"/>
  <c r="K78" i="22"/>
  <c r="K41" i="22"/>
  <c r="K42" i="22"/>
  <c r="K69" i="22"/>
  <c r="K68" i="22"/>
  <c r="J67" i="22"/>
  <c r="J69" i="22"/>
  <c r="J68" i="22"/>
  <c r="I38" i="46"/>
  <c r="G6" i="28"/>
  <c r="G15" i="28" s="1"/>
  <c r="G33" i="28" s="1"/>
  <c r="G38" i="28" s="1"/>
  <c r="G8" i="37"/>
  <c r="G10" i="37" s="1"/>
  <c r="H50" i="46"/>
  <c r="J35" i="46"/>
  <c r="J22" i="28"/>
  <c r="J31" i="28" s="1"/>
  <c r="J36" i="28" s="1"/>
  <c r="I49" i="46"/>
  <c r="K12" i="46"/>
  <c r="K13" i="46" s="1"/>
  <c r="K21" i="46"/>
  <c r="K22" i="46" s="1"/>
  <c r="K30" i="46"/>
  <c r="K31" i="46" s="1"/>
  <c r="L4" i="46"/>
  <c r="K40" i="46"/>
  <c r="K42" i="46" s="1"/>
  <c r="K23" i="46"/>
  <c r="K24" i="46"/>
  <c r="J36" i="46"/>
  <c r="K32" i="46"/>
  <c r="J44" i="46"/>
  <c r="K22" i="48" s="1"/>
  <c r="K31" i="48" s="1"/>
  <c r="K36" i="48" s="1"/>
  <c r="J37" i="46"/>
  <c r="K33" i="46"/>
  <c r="G37" i="19"/>
  <c r="D24" i="37"/>
  <c r="C49" i="47"/>
  <c r="C48" i="47"/>
  <c r="H84" i="18"/>
  <c r="H88" i="18" s="1"/>
  <c r="K32" i="22"/>
  <c r="K33" i="22"/>
  <c r="H11" i="28"/>
  <c r="H83" i="22"/>
  <c r="M27" i="22"/>
  <c r="M28" i="22" s="1"/>
  <c r="L28" i="22"/>
  <c r="I14" i="22"/>
  <c r="I81" i="22" s="1"/>
  <c r="I13" i="22"/>
  <c r="I80" i="22" s="1"/>
  <c r="I15" i="22"/>
  <c r="I82" i="22" s="1"/>
  <c r="J10" i="22"/>
  <c r="K9" i="22"/>
  <c r="M22" i="20"/>
  <c r="M24" i="20"/>
  <c r="M23" i="20"/>
  <c r="K87" i="18"/>
  <c r="K15" i="46"/>
  <c r="K14" i="46"/>
  <c r="M9" i="46"/>
  <c r="M10" i="46" s="1"/>
  <c r="L10" i="46"/>
  <c r="J29" i="20"/>
  <c r="K14" i="20"/>
  <c r="K27" i="20" s="1"/>
  <c r="K15" i="20"/>
  <c r="K28" i="20" s="1"/>
  <c r="K13" i="20"/>
  <c r="K26" i="20" s="1"/>
  <c r="L10" i="20"/>
  <c r="J9" i="28"/>
  <c r="I37" i="20"/>
  <c r="I41" i="20" s="1"/>
  <c r="L6" i="37"/>
  <c r="M6" i="37" s="1"/>
  <c r="I45" i="19"/>
  <c r="I47" i="19" s="1"/>
  <c r="J37" i="19"/>
  <c r="B15" i="37"/>
  <c r="B16" i="37" s="1"/>
  <c r="B19" i="37" s="1"/>
  <c r="K36" i="19"/>
  <c r="K35" i="19"/>
  <c r="L43" i="19"/>
  <c r="M18" i="48" s="1"/>
  <c r="K46" i="19"/>
  <c r="L18" i="28"/>
  <c r="M23" i="19"/>
  <c r="M34" i="19" s="1"/>
  <c r="M39" i="19"/>
  <c r="M41" i="19" s="1"/>
  <c r="L40" i="19" s="1"/>
  <c r="L32" i="19"/>
  <c r="K19" i="22"/>
  <c r="L18" i="22"/>
  <c r="J99" i="18"/>
  <c r="K25" i="28"/>
  <c r="J22" i="22"/>
  <c r="J23" i="22"/>
  <c r="J24" i="22"/>
  <c r="K24" i="32"/>
  <c r="K64" i="32" s="1"/>
  <c r="K65" i="32" s="1"/>
  <c r="L14" i="28" s="1"/>
  <c r="L10" i="32"/>
  <c r="J73" i="32"/>
  <c r="J77" i="32" s="1"/>
  <c r="M22" i="32"/>
  <c r="M62" i="32" s="1"/>
  <c r="M23" i="32"/>
  <c r="M63" i="32" s="1"/>
  <c r="K94" i="18"/>
  <c r="L25" i="48" s="1"/>
  <c r="K86" i="18"/>
  <c r="L24" i="18"/>
  <c r="I60" i="18"/>
  <c r="I68" i="18"/>
  <c r="I79" i="18" s="1"/>
  <c r="L90" i="18"/>
  <c r="L92" i="18" s="1"/>
  <c r="L78" i="18"/>
  <c r="L82" i="18" s="1"/>
  <c r="L59" i="18"/>
  <c r="L63" i="18" s="1"/>
  <c r="L40" i="18"/>
  <c r="L44" i="18" s="1"/>
  <c r="L77" i="18"/>
  <c r="L80" i="18" s="1"/>
  <c r="L58" i="18"/>
  <c r="L61" i="18" s="1"/>
  <c r="L39" i="18"/>
  <c r="L42" i="18" s="1"/>
  <c r="L20" i="18"/>
  <c r="L23" i="18" s="1"/>
  <c r="L11" i="18"/>
  <c r="L21" i="18"/>
  <c r="L25" i="18" s="1"/>
  <c r="M4" i="18"/>
  <c r="K30" i="18"/>
  <c r="K22" i="18"/>
  <c r="K85" i="18"/>
  <c r="J49" i="18"/>
  <c r="J41" i="18"/>
  <c r="I11" i="28" l="1"/>
  <c r="I11" i="48"/>
  <c r="H96" i="18"/>
  <c r="H100" i="18" s="1"/>
  <c r="I13" i="48"/>
  <c r="H6" i="28"/>
  <c r="H15" i="28" s="1"/>
  <c r="F24" i="37" s="1"/>
  <c r="H6" i="48"/>
  <c r="H15" i="48" s="1"/>
  <c r="H33" i="48" s="1"/>
  <c r="H37" i="48" s="1"/>
  <c r="J45" i="19"/>
  <c r="J47" i="19" s="1"/>
  <c r="K6" i="48"/>
  <c r="I46" i="46"/>
  <c r="I50" i="46" s="1"/>
  <c r="J10" i="48"/>
  <c r="D37" i="28"/>
  <c r="D38" i="48"/>
  <c r="H8" i="37"/>
  <c r="H10" i="37" s="1"/>
  <c r="J10" i="28"/>
  <c r="K96" i="22"/>
  <c r="L23" i="28"/>
  <c r="L91" i="22"/>
  <c r="M23" i="48" s="1"/>
  <c r="L66" i="22"/>
  <c r="L67" i="22" s="1"/>
  <c r="L21" i="22"/>
  <c r="L48" i="22"/>
  <c r="L49" i="22" s="1"/>
  <c r="L57" i="22"/>
  <c r="L58" i="22" s="1"/>
  <c r="L30" i="22"/>
  <c r="L31" i="22" s="1"/>
  <c r="L12" i="22"/>
  <c r="M4" i="22"/>
  <c r="L75" i="22"/>
  <c r="L76" i="22" s="1"/>
  <c r="L39" i="22"/>
  <c r="L40" i="22" s="1"/>
  <c r="L86" i="22"/>
  <c r="L85" i="22"/>
  <c r="M89" i="22" s="1"/>
  <c r="E88" i="22" s="1"/>
  <c r="L87" i="22"/>
  <c r="L68" i="22"/>
  <c r="L69" i="22"/>
  <c r="L50" i="22"/>
  <c r="L51" i="22"/>
  <c r="L60" i="22"/>
  <c r="L59" i="22"/>
  <c r="L78" i="22"/>
  <c r="L77" i="22"/>
  <c r="L41" i="22"/>
  <c r="L42" i="22"/>
  <c r="E24" i="37"/>
  <c r="G45" i="19"/>
  <c r="G47" i="19" s="1"/>
  <c r="J38" i="46"/>
  <c r="K35" i="46"/>
  <c r="K36" i="46"/>
  <c r="K44" i="46"/>
  <c r="L22" i="48" s="1"/>
  <c r="L31" i="48" s="1"/>
  <c r="L36" i="48" s="1"/>
  <c r="K37" i="46"/>
  <c r="L21" i="46"/>
  <c r="L22" i="46" s="1"/>
  <c r="M4" i="46"/>
  <c r="L30" i="46"/>
  <c r="L31" i="46" s="1"/>
  <c r="L12" i="46"/>
  <c r="L13" i="46" s="1"/>
  <c r="L40" i="46"/>
  <c r="L42" i="46" s="1"/>
  <c r="L23" i="46"/>
  <c r="L24" i="46"/>
  <c r="L33" i="46"/>
  <c r="L32" i="46"/>
  <c r="J49" i="46"/>
  <c r="K22" i="28"/>
  <c r="I8" i="37" s="1"/>
  <c r="I10" i="37" s="1"/>
  <c r="I13" i="28"/>
  <c r="H93" i="22"/>
  <c r="H97" i="22" s="1"/>
  <c r="L33" i="22"/>
  <c r="L32" i="22"/>
  <c r="M32" i="22"/>
  <c r="M33" i="22"/>
  <c r="I83" i="22"/>
  <c r="L9" i="22"/>
  <c r="K10" i="22"/>
  <c r="J15" i="22"/>
  <c r="J82" i="22" s="1"/>
  <c r="J13" i="22"/>
  <c r="J80" i="22" s="1"/>
  <c r="J14" i="22"/>
  <c r="J81" i="22" s="1"/>
  <c r="M15" i="46"/>
  <c r="L87" i="18"/>
  <c r="L14" i="46"/>
  <c r="L15" i="46"/>
  <c r="K29" i="20"/>
  <c r="L15" i="20"/>
  <c r="L28" i="20" s="1"/>
  <c r="M10" i="20"/>
  <c r="L14" i="20"/>
  <c r="L27" i="20" s="1"/>
  <c r="L13" i="20"/>
  <c r="L26" i="20" s="1"/>
  <c r="K9" i="28"/>
  <c r="J37" i="20"/>
  <c r="J41" i="20" s="1"/>
  <c r="E81" i="28"/>
  <c r="B25" i="37"/>
  <c r="B26" i="37" s="1"/>
  <c r="B30" i="37" s="1"/>
  <c r="B34" i="37" s="1"/>
  <c r="K6" i="28"/>
  <c r="B21" i="37"/>
  <c r="K37" i="19"/>
  <c r="H40" i="19"/>
  <c r="C40" i="19"/>
  <c r="D40" i="19"/>
  <c r="I40" i="19"/>
  <c r="E40" i="19"/>
  <c r="K40" i="19"/>
  <c r="G40" i="19"/>
  <c r="L36" i="19"/>
  <c r="L35" i="19"/>
  <c r="M32" i="19"/>
  <c r="M43" i="19"/>
  <c r="N18" i="48" s="1"/>
  <c r="M40" i="19"/>
  <c r="F40" i="19"/>
  <c r="J40" i="19"/>
  <c r="M18" i="28"/>
  <c r="L46" i="19"/>
  <c r="K99" i="18"/>
  <c r="L25" i="28"/>
  <c r="K23" i="22"/>
  <c r="K24" i="22"/>
  <c r="K22" i="22"/>
  <c r="M18" i="22"/>
  <c r="M19" i="22" s="1"/>
  <c r="L19" i="22"/>
  <c r="K73" i="32"/>
  <c r="K77" i="32" s="1"/>
  <c r="L24" i="32"/>
  <c r="L64" i="32" s="1"/>
  <c r="L65" i="32" s="1"/>
  <c r="M14" i="28" s="1"/>
  <c r="M10" i="32"/>
  <c r="M24" i="32" s="1"/>
  <c r="M64" i="32" s="1"/>
  <c r="M65" i="32" s="1"/>
  <c r="N14" i="28" s="1"/>
  <c r="L30" i="18"/>
  <c r="L22" i="18"/>
  <c r="L86" i="18"/>
  <c r="M24" i="18"/>
  <c r="M86" i="18" s="1"/>
  <c r="L85" i="18"/>
  <c r="L94" i="18"/>
  <c r="M25" i="48" s="1"/>
  <c r="K49" i="18"/>
  <c r="K41" i="18"/>
  <c r="M77" i="18"/>
  <c r="M80" i="18" s="1"/>
  <c r="M78" i="18"/>
  <c r="M82" i="18" s="1"/>
  <c r="M59" i="18"/>
  <c r="M63" i="18" s="1"/>
  <c r="M11" i="18"/>
  <c r="M58" i="18"/>
  <c r="M61" i="18" s="1"/>
  <c r="M40" i="18"/>
  <c r="M44" i="18" s="1"/>
  <c r="M90" i="18"/>
  <c r="M92" i="18" s="1"/>
  <c r="L91" i="18" s="1"/>
  <c r="M39" i="18"/>
  <c r="M42" i="18" s="1"/>
  <c r="M21" i="18"/>
  <c r="M25" i="18" s="1"/>
  <c r="M20" i="18"/>
  <c r="M23" i="18" s="1"/>
  <c r="J68" i="18"/>
  <c r="J79" i="18" s="1"/>
  <c r="J60" i="18"/>
  <c r="I84" i="18"/>
  <c r="I88" i="18" s="1"/>
  <c r="J13" i="48" s="1"/>
  <c r="I15" i="28" l="1"/>
  <c r="G24" i="37" s="1"/>
  <c r="I15" i="48"/>
  <c r="I33" i="48" s="1"/>
  <c r="I37" i="48" s="1"/>
  <c r="F73" i="48"/>
  <c r="K10" i="28"/>
  <c r="K10" i="48"/>
  <c r="K45" i="19"/>
  <c r="K47" i="19" s="1"/>
  <c r="L6" i="48"/>
  <c r="J11" i="28"/>
  <c r="J11" i="48"/>
  <c r="J15" i="48" s="1"/>
  <c r="J33" i="48" s="1"/>
  <c r="J37" i="48" s="1"/>
  <c r="D39" i="28"/>
  <c r="D39" i="48"/>
  <c r="J46" i="46"/>
  <c r="J50" i="46" s="1"/>
  <c r="K31" i="28"/>
  <c r="K36" i="28" s="1"/>
  <c r="J88" i="22"/>
  <c r="L88" i="22"/>
  <c r="D88" i="22"/>
  <c r="L96" i="22"/>
  <c r="M23" i="28"/>
  <c r="M91" i="22"/>
  <c r="N23" i="48" s="1"/>
  <c r="F78" i="48" s="1"/>
  <c r="E78" i="48" s="1"/>
  <c r="M88" i="22"/>
  <c r="H88" i="22"/>
  <c r="I88" i="22"/>
  <c r="K88" i="22"/>
  <c r="F88" i="22"/>
  <c r="M48" i="22"/>
  <c r="M49" i="22" s="1"/>
  <c r="M57" i="22"/>
  <c r="M58" i="22" s="1"/>
  <c r="M30" i="22"/>
  <c r="M31" i="22" s="1"/>
  <c r="M12" i="22"/>
  <c r="M75" i="22"/>
  <c r="M76" i="22" s="1"/>
  <c r="M39" i="22"/>
  <c r="M40" i="22" s="1"/>
  <c r="M66" i="22"/>
  <c r="M67" i="22" s="1"/>
  <c r="M21" i="22"/>
  <c r="M22" i="22" s="1"/>
  <c r="M85" i="22"/>
  <c r="M87" i="22"/>
  <c r="M78" i="22"/>
  <c r="M86" i="22"/>
  <c r="M77" i="22"/>
  <c r="M69" i="22"/>
  <c r="M68" i="22"/>
  <c r="M50" i="22"/>
  <c r="M59" i="22"/>
  <c r="M60" i="22"/>
  <c r="M51" i="22"/>
  <c r="M42" i="22"/>
  <c r="M41" i="22"/>
  <c r="G88" i="22"/>
  <c r="C88" i="22"/>
  <c r="L6" i="28"/>
  <c r="L36" i="46"/>
  <c r="K38" i="46"/>
  <c r="L22" i="28"/>
  <c r="L31" i="28" s="1"/>
  <c r="L36" i="28" s="1"/>
  <c r="K49" i="46"/>
  <c r="M30" i="46"/>
  <c r="M31" i="46" s="1"/>
  <c r="M12" i="46"/>
  <c r="M13" i="46" s="1"/>
  <c r="M21" i="46"/>
  <c r="M22" i="46" s="1"/>
  <c r="M32" i="46"/>
  <c r="M40" i="46"/>
  <c r="M42" i="46" s="1"/>
  <c r="D41" i="46" s="1"/>
  <c r="M33" i="46"/>
  <c r="M23" i="46"/>
  <c r="M24" i="46"/>
  <c r="L35" i="46"/>
  <c r="M14" i="46"/>
  <c r="L44" i="46"/>
  <c r="M22" i="48" s="1"/>
  <c r="M31" i="48" s="1"/>
  <c r="M36" i="48" s="1"/>
  <c r="L37" i="46"/>
  <c r="H33" i="28"/>
  <c r="H38" i="28" s="1"/>
  <c r="I33" i="28"/>
  <c r="I38" i="28" s="1"/>
  <c r="I93" i="22"/>
  <c r="I97" i="22" s="1"/>
  <c r="J83" i="22"/>
  <c r="K15" i="22"/>
  <c r="K82" i="22" s="1"/>
  <c r="K13" i="22"/>
  <c r="K80" i="22" s="1"/>
  <c r="K14" i="22"/>
  <c r="K81" i="22" s="1"/>
  <c r="M9" i="22"/>
  <c r="M10" i="22" s="1"/>
  <c r="L10" i="22"/>
  <c r="K46" i="46"/>
  <c r="M15" i="20"/>
  <c r="M28" i="20" s="1"/>
  <c r="M13" i="20"/>
  <c r="M26" i="20" s="1"/>
  <c r="M14" i="20"/>
  <c r="M27" i="20" s="1"/>
  <c r="L29" i="20"/>
  <c r="L9" i="28"/>
  <c r="K37" i="20"/>
  <c r="K41" i="20" s="1"/>
  <c r="J84" i="18"/>
  <c r="J88" i="18" s="1"/>
  <c r="M85" i="18"/>
  <c r="L37" i="19"/>
  <c r="M35" i="19"/>
  <c r="M36" i="19"/>
  <c r="M46" i="19"/>
  <c r="N18" i="28"/>
  <c r="F73" i="28" s="1"/>
  <c r="L24" i="22"/>
  <c r="L23" i="22"/>
  <c r="L22" i="22"/>
  <c r="L99" i="18"/>
  <c r="M25" i="28"/>
  <c r="M23" i="22"/>
  <c r="M24" i="22"/>
  <c r="I96" i="18"/>
  <c r="I100" i="18" s="1"/>
  <c r="J13" i="28"/>
  <c r="I91" i="18"/>
  <c r="K91" i="18"/>
  <c r="M73" i="32"/>
  <c r="L73" i="32"/>
  <c r="L77" i="32" s="1"/>
  <c r="H91" i="18"/>
  <c r="M30" i="18"/>
  <c r="M22" i="18"/>
  <c r="L49" i="18"/>
  <c r="L41" i="18"/>
  <c r="M87" i="18"/>
  <c r="M91" i="18"/>
  <c r="M94" i="18"/>
  <c r="N25" i="48" s="1"/>
  <c r="F80" i="48" s="1"/>
  <c r="E80" i="48" s="1"/>
  <c r="G91" i="18"/>
  <c r="F91" i="18"/>
  <c r="D91" i="18"/>
  <c r="C91" i="18"/>
  <c r="E91" i="18"/>
  <c r="K68" i="18"/>
  <c r="K79" i="18" s="1"/>
  <c r="K60" i="18"/>
  <c r="J91" i="18"/>
  <c r="J15" i="28" l="1"/>
  <c r="H24" i="37" s="1"/>
  <c r="K11" i="28"/>
  <c r="K11" i="48"/>
  <c r="E73" i="48"/>
  <c r="L10" i="28"/>
  <c r="L10" i="48"/>
  <c r="M6" i="28"/>
  <c r="M6" i="48"/>
  <c r="K13" i="28"/>
  <c r="K13" i="48"/>
  <c r="K50" i="46"/>
  <c r="M96" i="22"/>
  <c r="N23" i="28"/>
  <c r="F78" i="28" s="1"/>
  <c r="E78" i="28" s="1"/>
  <c r="J8" i="37"/>
  <c r="J10" i="37" s="1"/>
  <c r="F41" i="46"/>
  <c r="L41" i="46"/>
  <c r="M37" i="46"/>
  <c r="L38" i="46"/>
  <c r="K41" i="46"/>
  <c r="J41" i="46"/>
  <c r="M44" i="46"/>
  <c r="N22" i="48" s="1"/>
  <c r="M41" i="46"/>
  <c r="I41" i="46"/>
  <c r="H41" i="46"/>
  <c r="E41" i="46"/>
  <c r="G41" i="46"/>
  <c r="L49" i="46"/>
  <c r="M22" i="28"/>
  <c r="M31" i="28" s="1"/>
  <c r="M36" i="28" s="1"/>
  <c r="C41" i="46"/>
  <c r="M36" i="46"/>
  <c r="M35" i="46"/>
  <c r="E73" i="28"/>
  <c r="J93" i="22"/>
  <c r="J97" i="22" s="1"/>
  <c r="K83" i="22"/>
  <c r="L15" i="22"/>
  <c r="L82" i="22" s="1"/>
  <c r="L13" i="22"/>
  <c r="L80" i="22" s="1"/>
  <c r="L14" i="22"/>
  <c r="L81" i="22" s="1"/>
  <c r="M13" i="22"/>
  <c r="M80" i="22" s="1"/>
  <c r="M15" i="22"/>
  <c r="M82" i="22" s="1"/>
  <c r="M14" i="22"/>
  <c r="M81" i="22" s="1"/>
  <c r="M29" i="20"/>
  <c r="N9" i="28" s="1"/>
  <c r="M9" i="28"/>
  <c r="L37" i="20"/>
  <c r="L41" i="20" s="1"/>
  <c r="J96" i="18"/>
  <c r="J100" i="18" s="1"/>
  <c r="K84" i="18"/>
  <c r="K88" i="18" s="1"/>
  <c r="M37" i="19"/>
  <c r="L45" i="19"/>
  <c r="L47" i="19" s="1"/>
  <c r="M99" i="18"/>
  <c r="N25" i="28"/>
  <c r="F80" i="28" s="1"/>
  <c r="E80" i="28" s="1"/>
  <c r="M74" i="32"/>
  <c r="M75" i="32" s="1"/>
  <c r="L68" i="18"/>
  <c r="L79" i="18" s="1"/>
  <c r="L60" i="18"/>
  <c r="M49" i="18"/>
  <c r="M41" i="18"/>
  <c r="J33" i="28" l="1"/>
  <c r="J38" i="28" s="1"/>
  <c r="K15" i="48"/>
  <c r="K33" i="48" s="1"/>
  <c r="K37" i="48" s="1"/>
  <c r="K15" i="28"/>
  <c r="K33" i="28" s="1"/>
  <c r="K38" i="28" s="1"/>
  <c r="F77" i="48"/>
  <c r="N31" i="48"/>
  <c r="N36" i="48" s="1"/>
  <c r="L13" i="28"/>
  <c r="L13" i="48"/>
  <c r="N6" i="28"/>
  <c r="N6" i="48"/>
  <c r="K93" i="22"/>
  <c r="K97" i="22" s="1"/>
  <c r="L11" i="48"/>
  <c r="L15" i="48" s="1"/>
  <c r="L33" i="48" s="1"/>
  <c r="L37" i="48" s="1"/>
  <c r="M10" i="28"/>
  <c r="M10" i="48"/>
  <c r="K8" i="37"/>
  <c r="K10" i="37" s="1"/>
  <c r="L46" i="46"/>
  <c r="L50" i="46" s="1"/>
  <c r="M49" i="46"/>
  <c r="N22" i="28"/>
  <c r="F77" i="28" s="1"/>
  <c r="M38" i="46"/>
  <c r="N10" i="48" s="1"/>
  <c r="L11" i="28"/>
  <c r="M83" i="22"/>
  <c r="M37" i="20"/>
  <c r="M38" i="20" s="1"/>
  <c r="L83" i="22"/>
  <c r="K96" i="18"/>
  <c r="K100" i="18" s="1"/>
  <c r="L84" i="18"/>
  <c r="L88" i="18" s="1"/>
  <c r="M45" i="19"/>
  <c r="M47" i="19" s="1"/>
  <c r="C48" i="19" s="1"/>
  <c r="M77" i="32"/>
  <c r="M68" i="18"/>
  <c r="M79" i="18" s="1"/>
  <c r="M60" i="18"/>
  <c r="E77" i="28" l="1"/>
  <c r="F92" i="28"/>
  <c r="I24" i="37"/>
  <c r="L96" i="18"/>
  <c r="L100" i="18" s="1"/>
  <c r="M13" i="48"/>
  <c r="M93" i="22"/>
  <c r="M94" i="22" s="1"/>
  <c r="N11" i="48"/>
  <c r="L93" i="22"/>
  <c r="L97" i="22" s="1"/>
  <c r="M11" i="48"/>
  <c r="M15" i="48" s="1"/>
  <c r="M33" i="48" s="1"/>
  <c r="M37" i="48" s="1"/>
  <c r="M39" i="20"/>
  <c r="M41" i="20" s="1"/>
  <c r="C42" i="20" s="1"/>
  <c r="L15" i="28"/>
  <c r="L33" i="28" s="1"/>
  <c r="L38" i="28" s="1"/>
  <c r="E77" i="48"/>
  <c r="F92" i="48"/>
  <c r="L8" i="37"/>
  <c r="L10" i="37" s="1"/>
  <c r="N31" i="28"/>
  <c r="N36" i="28" s="1"/>
  <c r="C6" i="38"/>
  <c r="C8" i="38" s="1"/>
  <c r="N10" i="28"/>
  <c r="M46" i="46"/>
  <c r="N11" i="28"/>
  <c r="M11" i="28"/>
  <c r="M84" i="18"/>
  <c r="M88" i="18" s="1"/>
  <c r="M13" i="28"/>
  <c r="C49" i="19"/>
  <c r="C79" i="32"/>
  <c r="C78" i="32"/>
  <c r="J24" i="37" l="1"/>
  <c r="N13" i="28"/>
  <c r="N15" i="28" s="1"/>
  <c r="L24" i="37" s="1"/>
  <c r="N13" i="48"/>
  <c r="N15" i="48" s="1"/>
  <c r="N33" i="48" s="1"/>
  <c r="C11" i="38"/>
  <c r="M8" i="37"/>
  <c r="M10" i="37" s="1"/>
  <c r="M47" i="46"/>
  <c r="M15" i="28"/>
  <c r="M33" i="28" s="1"/>
  <c r="M38" i="28" s="1"/>
  <c r="M96" i="18"/>
  <c r="M97" i="18" s="1"/>
  <c r="M98" i="18" s="1"/>
  <c r="M100" i="18" s="1"/>
  <c r="C101" i="18" s="1"/>
  <c r="C43" i="20"/>
  <c r="M95" i="22"/>
  <c r="M97" i="22" s="1"/>
  <c r="C12" i="38" l="1"/>
  <c r="M73" i="49" s="1"/>
  <c r="M77" i="49"/>
  <c r="M48" i="46"/>
  <c r="M50" i="46" s="1"/>
  <c r="N34" i="48"/>
  <c r="M76" i="48"/>
  <c r="M77" i="28"/>
  <c r="N33" i="28"/>
  <c r="N34" i="28"/>
  <c r="K24" i="37"/>
  <c r="M24" i="37" s="1"/>
  <c r="C102" i="18"/>
  <c r="C99" i="22"/>
  <c r="C98" i="22"/>
  <c r="C13" i="37" l="1"/>
  <c r="C29" i="37" s="1"/>
  <c r="C19" i="38"/>
  <c r="M73" i="48"/>
  <c r="C42" i="49"/>
  <c r="N77" i="49"/>
  <c r="M85" i="49"/>
  <c r="N73" i="49" s="1"/>
  <c r="J44" i="48"/>
  <c r="N35" i="48"/>
  <c r="N37" i="48" s="1"/>
  <c r="C34" i="48"/>
  <c r="M73" i="28"/>
  <c r="C42" i="48"/>
  <c r="M83" i="48"/>
  <c r="N73" i="48" s="1"/>
  <c r="C42" i="28"/>
  <c r="C34" i="28"/>
  <c r="C51" i="46"/>
  <c r="C52" i="46"/>
  <c r="J44" i="28"/>
  <c r="N35" i="28"/>
  <c r="L32" i="37" s="1"/>
  <c r="M32" i="37" s="1"/>
  <c r="L31" i="37"/>
  <c r="M31" i="37" s="1"/>
  <c r="D13" i="37" l="1"/>
  <c r="D15" i="37" s="1"/>
  <c r="C15" i="37"/>
  <c r="C16" i="37" s="1"/>
  <c r="C19" i="37" s="1"/>
  <c r="N83" i="49"/>
  <c r="N80" i="49"/>
  <c r="N74" i="49"/>
  <c r="N81" i="49"/>
  <c r="N82" i="49"/>
  <c r="N84" i="49"/>
  <c r="D29" i="37"/>
  <c r="E13" i="37"/>
  <c r="F13" i="37" s="1"/>
  <c r="F15" i="37" s="1"/>
  <c r="M85" i="28"/>
  <c r="N80" i="28" s="1"/>
  <c r="C43" i="48"/>
  <c r="C41" i="48"/>
  <c r="N79" i="48"/>
  <c r="N80" i="48"/>
  <c r="N74" i="48"/>
  <c r="N81" i="48"/>
  <c r="N76" i="48"/>
  <c r="N38" i="28"/>
  <c r="C21" i="37"/>
  <c r="C25" i="37"/>
  <c r="E37" i="28"/>
  <c r="N85" i="49" l="1"/>
  <c r="E38" i="48"/>
  <c r="E37" i="49"/>
  <c r="E29" i="37"/>
  <c r="F29" i="37"/>
  <c r="G13" i="37"/>
  <c r="G29" i="37" s="1"/>
  <c r="E15" i="37"/>
  <c r="N84" i="28"/>
  <c r="N83" i="28"/>
  <c r="N82" i="28"/>
  <c r="N73" i="28"/>
  <c r="N81" i="28"/>
  <c r="N74" i="28"/>
  <c r="N77" i="28"/>
  <c r="C43" i="28"/>
  <c r="C41" i="28"/>
  <c r="N83" i="48"/>
  <c r="C26" i="37"/>
  <c r="C30" i="37" s="1"/>
  <c r="C34" i="37" s="1"/>
  <c r="E39" i="49" s="1"/>
  <c r="G15" i="37" l="1"/>
  <c r="H13" i="37"/>
  <c r="I13" i="37" s="1"/>
  <c r="I29" i="37" s="1"/>
  <c r="N85" i="28"/>
  <c r="E39" i="28"/>
  <c r="E39" i="48"/>
  <c r="J13" i="37" l="1"/>
  <c r="K13" i="37" s="1"/>
  <c r="L13" i="37" s="1"/>
  <c r="L29" i="37" s="1"/>
  <c r="I15" i="37"/>
  <c r="H15" i="37"/>
  <c r="H29" i="37"/>
  <c r="L15" i="37" l="1"/>
  <c r="J29" i="37"/>
  <c r="M13" i="37"/>
  <c r="J15" i="37"/>
  <c r="J16" i="37" s="1"/>
  <c r="J19" i="37" s="1"/>
  <c r="L37" i="49" s="1"/>
  <c r="K15" i="37"/>
  <c r="K29" i="37"/>
  <c r="D16" i="37"/>
  <c r="D19" i="37" s="1"/>
  <c r="E16" i="37"/>
  <c r="E19" i="37" s="1"/>
  <c r="G37" i="49" s="1"/>
  <c r="F16" i="37"/>
  <c r="F19" i="37" s="1"/>
  <c r="H37" i="49" s="1"/>
  <c r="G16" i="37"/>
  <c r="G19" i="37" s="1"/>
  <c r="I37" i="49" s="1"/>
  <c r="H16" i="37"/>
  <c r="H19" i="37" s="1"/>
  <c r="I16" i="37"/>
  <c r="I19" i="37" s="1"/>
  <c r="J38" i="48" l="1"/>
  <c r="J37" i="49"/>
  <c r="F38" i="48"/>
  <c r="F37" i="49"/>
  <c r="K38" i="48"/>
  <c r="K37" i="49"/>
  <c r="M29" i="37"/>
  <c r="L16" i="37"/>
  <c r="L19" i="37" s="1"/>
  <c r="M15" i="37"/>
  <c r="K16" i="37"/>
  <c r="K19" i="37" s="1"/>
  <c r="E21" i="37"/>
  <c r="G38" i="48"/>
  <c r="I37" i="28"/>
  <c r="I38" i="48"/>
  <c r="J21" i="37"/>
  <c r="L38" i="48"/>
  <c r="F21" i="37"/>
  <c r="H38" i="48"/>
  <c r="G37" i="28"/>
  <c r="F25" i="37"/>
  <c r="F26" i="37" s="1"/>
  <c r="F30" i="37" s="1"/>
  <c r="F34" i="37" s="1"/>
  <c r="H39" i="49" s="1"/>
  <c r="H37" i="28"/>
  <c r="G21" i="37"/>
  <c r="I25" i="37"/>
  <c r="I26" i="37" s="1"/>
  <c r="I30" i="37" s="1"/>
  <c r="I34" i="37" s="1"/>
  <c r="K39" i="49" s="1"/>
  <c r="K37" i="28"/>
  <c r="I21" i="37"/>
  <c r="L37" i="28"/>
  <c r="J25" i="37"/>
  <c r="J26" i="37" s="1"/>
  <c r="J30" i="37" s="1"/>
  <c r="J34" i="37" s="1"/>
  <c r="L39" i="49" s="1"/>
  <c r="E25" i="37"/>
  <c r="E26" i="37" s="1"/>
  <c r="E30" i="37" s="1"/>
  <c r="E34" i="37" s="1"/>
  <c r="G39" i="49" s="1"/>
  <c r="D21" i="37"/>
  <c r="D25" i="37"/>
  <c r="F37" i="28"/>
  <c r="H21" i="37"/>
  <c r="H25" i="37"/>
  <c r="H26" i="37" s="1"/>
  <c r="H30" i="37" s="1"/>
  <c r="H34" i="37" s="1"/>
  <c r="J39" i="49" s="1"/>
  <c r="J37" i="28"/>
  <c r="G25" i="37"/>
  <c r="G26" i="37" s="1"/>
  <c r="G30" i="37" s="1"/>
  <c r="G34" i="37" s="1"/>
  <c r="I39" i="49" s="1"/>
  <c r="N38" i="48" l="1"/>
  <c r="N37" i="49"/>
  <c r="M38" i="48"/>
  <c r="M37" i="49"/>
  <c r="K21" i="37"/>
  <c r="L20" i="37"/>
  <c r="M20" i="37" s="1"/>
  <c r="K25" i="37"/>
  <c r="K26" i="37" s="1"/>
  <c r="K30" i="37" s="1"/>
  <c r="K34" i="37" s="1"/>
  <c r="M37" i="28"/>
  <c r="N37" i="28"/>
  <c r="M19" i="37"/>
  <c r="L25" i="37"/>
  <c r="L26" i="37" s="1"/>
  <c r="L30" i="37" s="1"/>
  <c r="I39" i="28"/>
  <c r="I39" i="48"/>
  <c r="J39" i="48"/>
  <c r="J39" i="28"/>
  <c r="G39" i="28"/>
  <c r="G39" i="48"/>
  <c r="K39" i="48"/>
  <c r="K39" i="28"/>
  <c r="L39" i="28"/>
  <c r="L39" i="48"/>
  <c r="H39" i="48"/>
  <c r="H39" i="28"/>
  <c r="D26" i="37"/>
  <c r="D30" i="37" s="1"/>
  <c r="L21" i="37" l="1"/>
  <c r="L33" i="37"/>
  <c r="M33" i="37" s="1"/>
  <c r="M39" i="28"/>
  <c r="M39" i="49"/>
  <c r="M39" i="48"/>
  <c r="M21" i="37"/>
  <c r="M25" i="37"/>
  <c r="M26" i="37" s="1"/>
  <c r="L34" i="37"/>
  <c r="N39" i="49" s="1"/>
  <c r="D34" i="37"/>
  <c r="F39" i="49" s="1"/>
  <c r="M30" i="37"/>
  <c r="M34" i="37" s="1"/>
  <c r="F39" i="28" l="1"/>
  <c r="F39" i="48"/>
  <c r="B36" i="37"/>
  <c r="N39" i="48"/>
  <c r="N39" i="28"/>
  <c r="B35" i="37"/>
  <c r="C44" i="48" l="1"/>
  <c r="C44" i="49"/>
  <c r="C44" i="28"/>
</calcChain>
</file>

<file path=xl/comments1.xml><?xml version="1.0" encoding="utf-8"?>
<comments xmlns="http://schemas.openxmlformats.org/spreadsheetml/2006/main">
  <authors>
    <author>Mason Rathe</author>
  </authors>
  <commentList>
    <comment ref="I80" authorId="0" shape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Could also reinvest cash
</t>
        </r>
      </text>
    </comment>
  </commentList>
</comments>
</file>

<file path=xl/comments2.xml><?xml version="1.0" encoding="utf-8"?>
<comments xmlns="http://schemas.openxmlformats.org/spreadsheetml/2006/main">
  <authors>
    <author>Mason Rathe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Need to put our land contribution, but It still has value, and should be considered part of equity contribution for IRR calc…?
</t>
        </r>
      </text>
    </comment>
  </commentList>
</comments>
</file>

<file path=xl/comments3.xml><?xml version="1.0" encoding="utf-8"?>
<comments xmlns="http://schemas.openxmlformats.org/spreadsheetml/2006/main">
  <authors>
    <author>Mason Rathe</author>
  </authors>
  <commentList>
    <comment ref="C65" authorId="0" shape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this will link total landscaping costs, so make sure to divide by a certain number</t>
        </r>
      </text>
    </comment>
  </commentList>
</comments>
</file>

<file path=xl/comments4.xml><?xml version="1.0" encoding="utf-8"?>
<comments xmlns="http://schemas.openxmlformats.org/spreadsheetml/2006/main">
  <authors>
    <author>Mason Rathe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Delete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Gross</t>
        </r>
      </text>
    </comment>
  </commentList>
</comments>
</file>

<file path=xl/comments5.xml><?xml version="1.0" encoding="utf-8"?>
<comments xmlns="http://schemas.openxmlformats.org/spreadsheetml/2006/main">
  <authors>
    <author>Mason Rathe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I didn’t differentitate between retail, restaurant, etc.
all retail
</t>
        </r>
      </text>
    </comment>
  </commentList>
</comments>
</file>

<file path=xl/sharedStrings.xml><?xml version="1.0" encoding="utf-8"?>
<sst xmlns="http://schemas.openxmlformats.org/spreadsheetml/2006/main" count="1741" uniqueCount="474">
  <si>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</si>
  <si>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</si>
  <si>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</si>
  <si>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</si>
  <si>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</si>
  <si>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</si>
  <si>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</si>
  <si>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 xml:space="preserve">Commercial Infrastructure </t>
  </si>
  <si>
    <t xml:space="preserve">Other Infrastructure </t>
  </si>
  <si>
    <t xml:space="preserve">Total Infrastructure Costs </t>
  </si>
  <si>
    <t>Revenue Assumptions</t>
  </si>
  <si>
    <t>Inflation Factor</t>
  </si>
  <si>
    <t>Gross Lease Revenues</t>
  </si>
  <si>
    <t>Percent Built by Year</t>
  </si>
  <si>
    <t>Infrastructure Costs</t>
  </si>
  <si>
    <t>Assumptions</t>
  </si>
  <si>
    <t>Sale Revenues</t>
  </si>
  <si>
    <t>Leasing Revenues</t>
  </si>
  <si>
    <t>Room Revenues</t>
  </si>
  <si>
    <t>Monthly Parking Fee</t>
  </si>
  <si>
    <t>Allocation to Monthly Use</t>
  </si>
  <si>
    <t>Percent Occupancy by Monthly Contracts</t>
  </si>
  <si>
    <t>Nonwork Days</t>
  </si>
  <si>
    <t>Daily Parking Hours</t>
  </si>
  <si>
    <t>Percent Utilization</t>
  </si>
  <si>
    <t>Work Days</t>
  </si>
  <si>
    <t>Hourly Parking Rate</t>
  </si>
  <si>
    <t>Net Present Value</t>
  </si>
  <si>
    <t>Structured Parking Spaces</t>
  </si>
  <si>
    <t>Total Costs of Sale</t>
  </si>
  <si>
    <t>Total Buildout</t>
  </si>
  <si>
    <t>Project Buildout by Area</t>
  </si>
  <si>
    <t>Total</t>
  </si>
  <si>
    <t>Subtotal</t>
  </si>
  <si>
    <t>Total Infrastructure Costs</t>
  </si>
  <si>
    <t>Total Costs</t>
  </si>
  <si>
    <t>Net Present Value of Costs</t>
  </si>
  <si>
    <t>Phase I</t>
  </si>
  <si>
    <t>Projected Unit Absorption</t>
  </si>
  <si>
    <t>Average Unit Size</t>
  </si>
  <si>
    <t>Net Rentable Area</t>
  </si>
  <si>
    <t>Occupancy Factor</t>
  </si>
  <si>
    <t>Net Usable Area</t>
  </si>
  <si>
    <t>Builder Profit</t>
  </si>
  <si>
    <t>Cost of Sales</t>
  </si>
  <si>
    <t>Vacancy Factor</t>
  </si>
  <si>
    <t>Rooms Completed</t>
  </si>
  <si>
    <t>Average Daily Room Rate</t>
  </si>
  <si>
    <t>Retail</t>
  </si>
  <si>
    <t>Hotel</t>
  </si>
  <si>
    <t>Structured Parking</t>
  </si>
  <si>
    <t>Surface Parking</t>
  </si>
  <si>
    <t>Amount</t>
  </si>
  <si>
    <t>Unit Cost</t>
  </si>
  <si>
    <t>Landscaping</t>
  </si>
  <si>
    <t>Public</t>
  </si>
  <si>
    <t>Private</t>
  </si>
  <si>
    <t>Roads</t>
  </si>
  <si>
    <t>Year 0</t>
  </si>
  <si>
    <t xml:space="preserve">Total Asset Value </t>
  </si>
  <si>
    <t>Asset Value</t>
  </si>
  <si>
    <t>Costs of Sale</t>
  </si>
  <si>
    <t>Unleveraged IRR Before Taxes</t>
  </si>
  <si>
    <t>2013-2014</t>
  </si>
  <si>
    <t>1. Summary Proforma</t>
  </si>
  <si>
    <t>Market-Rate Rental Housing</t>
  </si>
  <si>
    <t>Market-Rate For-Sale Housing</t>
  </si>
  <si>
    <t>Affordable Rental Housing</t>
  </si>
  <si>
    <t>Office</t>
  </si>
  <si>
    <t>Market-Rate Retail</t>
  </si>
  <si>
    <t>Land Acquisition Costs</t>
  </si>
  <si>
    <t>Loan to Value (LTV)</t>
  </si>
  <si>
    <t>Unleveraged IRR (Before Taxes)</t>
  </si>
  <si>
    <t>Current Site Value (Start of Year 0)</t>
  </si>
  <si>
    <t>Projected Site Value (End of Year 10)</t>
  </si>
  <si>
    <t>2. Multi-Year Development Program</t>
  </si>
  <si>
    <t>% of Total</t>
  </si>
  <si>
    <t>Equity Sources (Total)</t>
  </si>
  <si>
    <t>Financing Sources (Total)</t>
  </si>
  <si>
    <t>Public Subsidies (Total, If Any)</t>
  </si>
  <si>
    <t>Phase II</t>
  </si>
  <si>
    <t>Phase III</t>
  </si>
  <si>
    <t>Development Schedule</t>
  </si>
  <si>
    <t>ULI Urban Design Competition</t>
  </si>
  <si>
    <t>Total SF</t>
  </si>
  <si>
    <t>Product Type</t>
  </si>
  <si>
    <t>Parking Garage</t>
  </si>
  <si>
    <t>Garage 1st Floor Retail</t>
  </si>
  <si>
    <t>Infrastructure</t>
  </si>
  <si>
    <t>Phase IB</t>
  </si>
  <si>
    <t>Apartments (Market)</t>
  </si>
  <si>
    <t>Apts (Market-Mid-Rise)</t>
  </si>
  <si>
    <t>Apartments (Affordable)</t>
  </si>
  <si>
    <t>Apts (Affordable-Mid-Rise)</t>
  </si>
  <si>
    <t>Apartment Retail</t>
  </si>
  <si>
    <t>Grocery Store</t>
  </si>
  <si>
    <t>Condos</t>
  </si>
  <si>
    <t>Total (Hotel)</t>
  </si>
  <si>
    <t>Total (Retail)</t>
  </si>
  <si>
    <t>Total (Apartments - Market Mid-Rise)</t>
  </si>
  <si>
    <t>Total (Apartments - Affordable Mid-Rise)</t>
  </si>
  <si>
    <t>Total (Condos)</t>
  </si>
  <si>
    <t>Total (Structured Parking)</t>
  </si>
  <si>
    <t>Total (Surface Parking)</t>
  </si>
  <si>
    <t>Total (Office Mid-Rise)</t>
  </si>
  <si>
    <t>Inflation Factor:</t>
  </si>
  <si>
    <t>Discount Rate</t>
  </si>
  <si>
    <t>Team:</t>
  </si>
  <si>
    <t>Units</t>
  </si>
  <si>
    <t>SF</t>
  </si>
  <si>
    <t>Development Assumptions</t>
  </si>
  <si>
    <t>Phase IB Project #1</t>
  </si>
  <si>
    <t>Units Completed</t>
  </si>
  <si>
    <t>Cumulative Units Leased</t>
  </si>
  <si>
    <t>Phase II Project #1</t>
  </si>
  <si>
    <t>Monthly Rent PSF</t>
  </si>
  <si>
    <t>Phase III Project's #2 &amp; #3</t>
  </si>
  <si>
    <t>Annual Operating Expenses PSF</t>
  </si>
  <si>
    <t>Development Costs PSF</t>
  </si>
  <si>
    <t>(Less) Development Costs</t>
  </si>
  <si>
    <t>Other Assumptions</t>
  </si>
  <si>
    <t>Exit Cap Rate</t>
  </si>
  <si>
    <t>Cost of Sale</t>
  </si>
  <si>
    <t>Totals</t>
  </si>
  <si>
    <t>Projected Units Sold</t>
  </si>
  <si>
    <t>Cumulative Units Sold</t>
  </si>
  <si>
    <t>Sale Price PSF</t>
  </si>
  <si>
    <t>GLA Absorbed (SF)</t>
  </si>
  <si>
    <t>Net Lease Revenue PSF</t>
  </si>
  <si>
    <t>Gross SF</t>
  </si>
  <si>
    <t>Net SF</t>
  </si>
  <si>
    <t>Operating Expenses PSF</t>
  </si>
  <si>
    <t>Expenses Reimbursements</t>
  </si>
  <si>
    <t>(Less) Operating Expenses</t>
  </si>
  <si>
    <t>Development Costs PSF (Retail)</t>
  </si>
  <si>
    <t>Development Costs PSF (Restaurant)</t>
  </si>
  <si>
    <t>Development Costs PSF (Grocery Store)</t>
  </si>
  <si>
    <t>Market-Rate Retail (Gross)</t>
  </si>
  <si>
    <t>Landscaping Costs PSF</t>
  </si>
  <si>
    <t>Infrastructure Costs (All to Be Performed By Developer)</t>
  </si>
  <si>
    <t>3. Unit Development &amp; Infrastructure Costs</t>
  </si>
  <si>
    <t>Projected Construction Costs</t>
  </si>
  <si>
    <t>Hard</t>
  </si>
  <si>
    <t>Soft</t>
  </si>
  <si>
    <t>Hard Cost</t>
  </si>
  <si>
    <t>Property Type</t>
  </si>
  <si>
    <r>
      <t xml:space="preserve">Costs PSF </t>
    </r>
    <r>
      <rPr>
        <b/>
        <vertAlign val="superscript"/>
        <sz val="10"/>
        <rFont val="Arial"/>
        <family val="2"/>
      </rPr>
      <t>(1)</t>
    </r>
  </si>
  <si>
    <t>Costs PSF</t>
  </si>
  <si>
    <t>Contingency</t>
  </si>
  <si>
    <t>Apartments (1-3 Stories)</t>
  </si>
  <si>
    <t>Apartments (4-7 Stories)</t>
  </si>
  <si>
    <t>Apartments (8-24 Stories)</t>
  </si>
  <si>
    <t>Assisted Senior Living</t>
  </si>
  <si>
    <t>Bus Terminal (Train Station)</t>
  </si>
  <si>
    <t>Community Center</t>
  </si>
  <si>
    <t>Day Care Center</t>
  </si>
  <si>
    <t>Department Store (1 Story)</t>
  </si>
  <si>
    <t>Hotel (4-7 Stories)</t>
  </si>
  <si>
    <t>Hotel (8-24 Stories)</t>
  </si>
  <si>
    <t>Library</t>
  </si>
  <si>
    <t>Medical Office</t>
  </si>
  <si>
    <t>Movie Theater</t>
  </si>
  <si>
    <t>Office (2-4 Stories)</t>
  </si>
  <si>
    <t>Office (5-10 Stories)</t>
  </si>
  <si>
    <t>Office (11-20 Stories)</t>
  </si>
  <si>
    <t>Restaurant</t>
  </si>
  <si>
    <t>Restaurant (Fast Food)</t>
  </si>
  <si>
    <t>Retail Center</t>
  </si>
  <si>
    <t>Student Housing (2-3 Stories)</t>
  </si>
  <si>
    <t>Student Housing (4-8 Stories)</t>
  </si>
  <si>
    <t>Supermarket</t>
  </si>
  <si>
    <t>Warehouse</t>
  </si>
  <si>
    <t>(1) Source: RS Means Online Data (2013)</t>
  </si>
  <si>
    <t>Soft Costs (As a % of Hard Costs)</t>
  </si>
  <si>
    <t>Hard Cost Contingency</t>
  </si>
  <si>
    <t>Other Infrastructure Costs</t>
  </si>
  <si>
    <t>Item</t>
  </si>
  <si>
    <t>Hard Costs PSF</t>
  </si>
  <si>
    <t>Plaza/Landscaping/Parks</t>
  </si>
  <si>
    <t>Streetscape</t>
  </si>
  <si>
    <t>Pavillion</t>
  </si>
  <si>
    <t>Bank</t>
  </si>
  <si>
    <t>Department Store (3 Stories)</t>
  </si>
  <si>
    <t>Expense Reimbursements</t>
  </si>
  <si>
    <t>Operating Expenses</t>
  </si>
  <si>
    <t>Spaces</t>
  </si>
  <si>
    <t>SF Per Parking Space</t>
  </si>
  <si>
    <t>Operating Exenses PSF</t>
  </si>
  <si>
    <t>Parking Revenue (Monthly)</t>
  </si>
  <si>
    <t>Parking Revenue (Hourly)</t>
  </si>
  <si>
    <t>City Reimbursement</t>
  </si>
  <si>
    <t>Structured Parking (Excludes City-Built Garage)</t>
  </si>
  <si>
    <t>Phase IA Surface Parking</t>
  </si>
  <si>
    <t>Condo Surface Parking 1</t>
  </si>
  <si>
    <t>Condo Surface Parking 2</t>
  </si>
  <si>
    <t>Land Costs</t>
  </si>
  <si>
    <t>Developable</t>
  </si>
  <si>
    <t>Current Land</t>
  </si>
  <si>
    <t>Assessed</t>
  </si>
  <si>
    <t>Parking</t>
  </si>
  <si>
    <t>Value</t>
  </si>
  <si>
    <t>Parcel</t>
  </si>
  <si>
    <t>Status</t>
  </si>
  <si>
    <t>Use</t>
  </si>
  <si>
    <t>PSF</t>
  </si>
  <si>
    <t>Block A</t>
  </si>
  <si>
    <t>Parcel One</t>
  </si>
  <si>
    <t>Total (Block A)</t>
  </si>
  <si>
    <t>Block B</t>
  </si>
  <si>
    <t>Total (Block B)</t>
  </si>
  <si>
    <t>Block C</t>
  </si>
  <si>
    <t>Total (Block C)</t>
  </si>
  <si>
    <t>Total (All Parcels)</t>
  </si>
  <si>
    <t>Daily Parking Income Per Space</t>
  </si>
  <si>
    <t>Daily Parking Occupancy</t>
  </si>
  <si>
    <r>
      <t xml:space="preserve">Cap Rate (Parking Lots) </t>
    </r>
    <r>
      <rPr>
        <vertAlign val="superscript"/>
        <sz val="10"/>
        <rFont val="Arial"/>
        <family val="2"/>
      </rPr>
      <t>(1)</t>
    </r>
  </si>
  <si>
    <t>Industrial</t>
  </si>
  <si>
    <t>Office Vacancy</t>
  </si>
  <si>
    <t>Retail Vacancy</t>
  </si>
  <si>
    <t>Industrial Vacancy</t>
  </si>
  <si>
    <t>(1) Cap Rate was derived per discussions with CBRE.</t>
  </si>
  <si>
    <t>Block</t>
  </si>
  <si>
    <t>Parcels</t>
  </si>
  <si>
    <t>Purchased</t>
  </si>
  <si>
    <t xml:space="preserve">Assessed </t>
  </si>
  <si>
    <t xml:space="preserve">Total </t>
  </si>
  <si>
    <t>A</t>
  </si>
  <si>
    <t>B</t>
  </si>
  <si>
    <t>C</t>
  </si>
  <si>
    <t>(2) For parcels with an existing billboard, an additional $500,000 was added to each parcel's Total Value.</t>
  </si>
  <si>
    <t>Total Demolition Costs</t>
  </si>
  <si>
    <t>(Less) Existing Office Building SF (Parcel M - To Remain)</t>
  </si>
  <si>
    <t>Total SF Requiring Demolition</t>
  </si>
  <si>
    <t>*</t>
  </si>
  <si>
    <r>
      <t xml:space="preserve">Total Demolition Costs </t>
    </r>
    <r>
      <rPr>
        <b/>
        <vertAlign val="superscript"/>
        <sz val="10"/>
        <rFont val="Arial"/>
        <family val="2"/>
      </rPr>
      <t>(1)</t>
    </r>
  </si>
  <si>
    <t>(1) All demolition costs are to occur in Year 0 (2013-2014).</t>
  </si>
  <si>
    <t>Summary of Land Acquisition</t>
  </si>
  <si>
    <t>Demolition Costs</t>
  </si>
  <si>
    <t>(Less) Total Development Costs</t>
  </si>
  <si>
    <t>Net Present Value (9.00% Rate)</t>
  </si>
  <si>
    <t>Land Acquisition</t>
  </si>
  <si>
    <t>Equity Funding</t>
  </si>
  <si>
    <t>Debt Funding</t>
  </si>
  <si>
    <t>Cumulative Debt Funding</t>
  </si>
  <si>
    <t>Construction Costs</t>
  </si>
  <si>
    <t>Development Budget</t>
  </si>
  <si>
    <t>Equity Contribution</t>
  </si>
  <si>
    <t>Total Financing</t>
  </si>
  <si>
    <t>Construction To Mini-Perm Debt Financing (65% Leverage)</t>
  </si>
  <si>
    <t>Loan Fee (1.00%)</t>
  </si>
  <si>
    <t>Financing</t>
  </si>
  <si>
    <t>Syndicated Construction to Mini-Perm Facility (Led By U.S. Bank &amp; Wells Fargo)</t>
  </si>
  <si>
    <t>4. Equity &amp; Financing Sources</t>
  </si>
  <si>
    <t>Financing Analysis</t>
  </si>
  <si>
    <t>Interest Expense (6.00% All-In Rate)</t>
  </si>
  <si>
    <t>Loan Repayment</t>
  </si>
  <si>
    <t>Debt &amp; Equity Funding</t>
  </si>
  <si>
    <t>Debt Service Calculation</t>
  </si>
  <si>
    <t>Total Debt Service</t>
  </si>
  <si>
    <t>Interest Rate</t>
  </si>
  <si>
    <t>Financing Assumptions</t>
  </si>
  <si>
    <t>Leveraged IRR Calculation</t>
  </si>
  <si>
    <t>Equity Outlays</t>
  </si>
  <si>
    <t>CFADS</t>
  </si>
  <si>
    <t>Cash Flow After Debt Service</t>
  </si>
  <si>
    <t>Total CFADS</t>
  </si>
  <si>
    <t>(Less) Interest Expense</t>
  </si>
  <si>
    <t>Asset Sale</t>
  </si>
  <si>
    <t>(Less) Cost of Sale</t>
  </si>
  <si>
    <t>(Less) Debt Repayment</t>
  </si>
  <si>
    <t>Leveraged Cash Flows</t>
  </si>
  <si>
    <t>Leveraged IRR Before Taxes</t>
  </si>
  <si>
    <t>* Assumes all equity is contributed before the loan funds</t>
  </si>
  <si>
    <t>Leveraged IRR (Before Taxes) *</t>
  </si>
  <si>
    <t>Blended Cap Rate:</t>
  </si>
  <si>
    <t>Year 1 Construction Cost Assumptions</t>
  </si>
  <si>
    <r>
      <t xml:space="preserve">Costs PSF </t>
    </r>
    <r>
      <rPr>
        <b/>
        <vertAlign val="superscript"/>
        <sz val="12"/>
        <rFont val="Arial"/>
        <family val="2"/>
      </rPr>
      <t>(1)</t>
    </r>
  </si>
  <si>
    <r>
      <t xml:space="preserve">Costs PSF </t>
    </r>
    <r>
      <rPr>
        <b/>
        <vertAlign val="superscript"/>
        <sz val="12"/>
        <rFont val="Arial"/>
        <family val="2"/>
      </rPr>
      <t>(2)</t>
    </r>
  </si>
  <si>
    <r>
      <t xml:space="preserve">Contingency </t>
    </r>
    <r>
      <rPr>
        <b/>
        <vertAlign val="superscript"/>
        <sz val="12"/>
        <rFont val="Arial"/>
        <family val="2"/>
      </rPr>
      <t>(3)</t>
    </r>
  </si>
  <si>
    <t>Office Space</t>
  </si>
  <si>
    <t>Rental &amp; For-Sale Housing</t>
  </si>
  <si>
    <t>Retail Space</t>
  </si>
  <si>
    <t>Restaurant Space</t>
  </si>
  <si>
    <r>
      <t xml:space="preserve">Costs PSF </t>
    </r>
    <r>
      <rPr>
        <b/>
        <vertAlign val="superscript"/>
        <sz val="12"/>
        <rFont val="Arial"/>
        <family val="2"/>
      </rPr>
      <t>(4)</t>
    </r>
  </si>
  <si>
    <t>(3) Hard Cost Contingency has been estimated as 4.00% of Hard Costs.</t>
  </si>
  <si>
    <t>Market Assumptions</t>
  </si>
  <si>
    <t>Input</t>
  </si>
  <si>
    <t>Assumption</t>
  </si>
  <si>
    <r>
      <t xml:space="preserve">Used </t>
    </r>
    <r>
      <rPr>
        <b/>
        <vertAlign val="superscript"/>
        <sz val="12"/>
        <rFont val="Arial"/>
        <family val="2"/>
      </rPr>
      <t>(1)</t>
    </r>
  </si>
  <si>
    <t>Source</t>
  </si>
  <si>
    <t>Apartment Vacancy</t>
  </si>
  <si>
    <t>Condo Sales Prices PSF</t>
  </si>
  <si>
    <t>Office Rents PSF</t>
  </si>
  <si>
    <t>Retail Rents PSF</t>
  </si>
  <si>
    <t>Restaurant Rents PSF</t>
  </si>
  <si>
    <t>Grocery Store Rents PSF</t>
  </si>
  <si>
    <t>Hotel ADR</t>
  </si>
  <si>
    <t>Hotel Occupancy</t>
  </si>
  <si>
    <t>Hotel EBITDA Margin</t>
  </si>
  <si>
    <t>Apartment Cap Rates</t>
  </si>
  <si>
    <t>Office Cap Rates</t>
  </si>
  <si>
    <t>Retail Cap Rates</t>
  </si>
  <si>
    <t>Hotel Cap Rates</t>
  </si>
  <si>
    <t>Parking Cap Rates</t>
  </si>
  <si>
    <t>inflation of 3.00% was assumed.</t>
  </si>
  <si>
    <t xml:space="preserve">(4) Please note that these figures are current cost estimates, and that for purposes of estimating Development Costs, annual </t>
  </si>
  <si>
    <r>
      <t xml:space="preserve">Total Demolition Costs </t>
    </r>
    <r>
      <rPr>
        <b/>
        <vertAlign val="superscript"/>
        <sz val="12"/>
        <rFont val="Arial"/>
        <family val="2"/>
      </rPr>
      <t>(1)</t>
    </r>
  </si>
  <si>
    <r>
      <t xml:space="preserve">Green Infrastructure (Roofing) Costs PSF </t>
    </r>
    <r>
      <rPr>
        <vertAlign val="superscript"/>
        <sz val="10"/>
        <rFont val="Arial"/>
        <family val="2"/>
      </rPr>
      <t>(1)</t>
    </r>
  </si>
  <si>
    <t>(1) Source: EPA Website</t>
  </si>
  <si>
    <t>Debt Service (Interest Expense)</t>
  </si>
  <si>
    <t>(1) Please note that these rent/sales price figures are current estimates, and that for purposes of calculating Net Operating Income, annual inflation of 3.00% was assumed.</t>
  </si>
  <si>
    <t>2017-2018</t>
  </si>
  <si>
    <t>Home Depot</t>
  </si>
  <si>
    <t xml:space="preserve">Current rents on available units at Walton on the Park, SoNo East, Cobble Square Loft, Xavier Apartments </t>
  </si>
  <si>
    <t>CBRE &amp; Real Capital Analytics Reports for the Chicago CBD</t>
  </si>
  <si>
    <t>Current sales prices on available units at various Chicago condo projects, including 860 W Blackhawk St and 1611 N Hermitage Avenue</t>
  </si>
  <si>
    <t>CBRE and Cushman Wakefield estimates for similar submarket spaces in Chicago, including River North and West Loop</t>
  </si>
  <si>
    <t>Cushman and Wakefield reports for Chicago CBD area</t>
  </si>
  <si>
    <t>(1) Source: RS Means Online Data, and conversations with Cohen Financial and Momark Development</t>
  </si>
  <si>
    <t>* $3.00 PSF in Demolition Costs</t>
  </si>
  <si>
    <t>(Less) Any existing structures to remain</t>
  </si>
  <si>
    <t>Boat Dock Costs</t>
  </si>
  <si>
    <t>Bridge Costs</t>
  </si>
  <si>
    <t>http://www.homeadvisor.com/cost/outdoor-living/build-a-dock/</t>
  </si>
  <si>
    <t>http://www.fdot.gov/planning/policy/costs/bridges.pdf</t>
  </si>
  <si>
    <t>Manufacturing Center</t>
  </si>
  <si>
    <t>Manufacturing Center #2</t>
  </si>
  <si>
    <t>Industrial Cap Rates</t>
  </si>
  <si>
    <t>Industrial Rents PSF</t>
  </si>
  <si>
    <t>Residential</t>
  </si>
  <si>
    <t>Boat Dock</t>
  </si>
  <si>
    <t>Hotel Restaurants</t>
  </si>
  <si>
    <t xml:space="preserve">Hotel </t>
  </si>
  <si>
    <t>Residential/ Office Parking</t>
  </si>
  <si>
    <t>Retail/ Market Center</t>
  </si>
  <si>
    <t>Manufacturing</t>
  </si>
  <si>
    <t>Phase IA Parcel C</t>
  </si>
  <si>
    <t>Parcel 3an 4</t>
  </si>
  <si>
    <t>Phase IB - Parcel 8</t>
  </si>
  <si>
    <t>2 Pedestrian Bridges</t>
  </si>
  <si>
    <t>Phase II - Parcels 1 and 2</t>
  </si>
  <si>
    <t>Condo Retail</t>
  </si>
  <si>
    <t>Mech/Serv (2)</t>
  </si>
  <si>
    <t>Apts (Affortable-Mid-Rise)</t>
  </si>
  <si>
    <t>Manufacturing (6)</t>
  </si>
  <si>
    <t>Office (7)</t>
  </si>
  <si>
    <t xml:space="preserve">Retail </t>
  </si>
  <si>
    <t>Train Platform</t>
  </si>
  <si>
    <t>Street Renovation</t>
  </si>
  <si>
    <t>Riverwalk</t>
  </si>
  <si>
    <t>Amenity/ Institution</t>
  </si>
  <si>
    <t>Landscape</t>
  </si>
  <si>
    <t>Total (Landscaping)</t>
  </si>
  <si>
    <t>Total (Train Platform)</t>
  </si>
  <si>
    <t>Total (Street Renovation)</t>
  </si>
  <si>
    <t>Total (2 Pedestrian Bridges)</t>
  </si>
  <si>
    <t>Total (Boat Dock)</t>
  </si>
  <si>
    <t>Total (Industrial)</t>
  </si>
  <si>
    <t>Less: Value they retain</t>
  </si>
  <si>
    <t>Total (Home Depot Purchase)</t>
  </si>
  <si>
    <t>2 Platform Bridges</t>
  </si>
  <si>
    <t>Total (Riverwalk)</t>
  </si>
  <si>
    <t>Train Platform Costs PSF</t>
  </si>
  <si>
    <t>Riverwalk (Bike Trails) Costs PSF</t>
  </si>
  <si>
    <t xml:space="preserve">Phase II Project #2 </t>
  </si>
  <si>
    <t>Phase IA</t>
  </si>
  <si>
    <t>Phase II Project 1</t>
  </si>
  <si>
    <t>Phase II Project 2</t>
  </si>
  <si>
    <t>Phase II Project #1 and #2</t>
  </si>
  <si>
    <t>Phase III Project #1 and #2</t>
  </si>
  <si>
    <t>Phase II Office</t>
  </si>
  <si>
    <t>Phase I Office</t>
  </si>
  <si>
    <t>Manufacturing Center #1</t>
  </si>
  <si>
    <t>Amenity/Institution</t>
  </si>
  <si>
    <t>Phase I Parcel C Retail</t>
  </si>
  <si>
    <t>Phase I Event Center and Small Other Retail</t>
  </si>
  <si>
    <t>Phase IA Event Center and Other Small Retail</t>
  </si>
  <si>
    <t xml:space="preserve">Phase IB </t>
  </si>
  <si>
    <t>Phase II Parcel 1</t>
  </si>
  <si>
    <t>Phase II Parcel 7</t>
  </si>
  <si>
    <t>Phase III Projects #1 and #2</t>
  </si>
  <si>
    <t>Phase III Projects #3 and #4</t>
  </si>
  <si>
    <t>Phase II Parcel 2 and 6</t>
  </si>
  <si>
    <t>Phase I Parking Garages</t>
  </si>
  <si>
    <t>Phase II Parcel 1 Garage</t>
  </si>
  <si>
    <t>Phase II Parcel 2 Garages</t>
  </si>
  <si>
    <t>Phase III Parking Garage</t>
  </si>
  <si>
    <t>Phase I Parking Garages (3)</t>
  </si>
  <si>
    <t>Phase III Garage</t>
  </si>
  <si>
    <t>Phase II Parcel 2 and 7 Garages (2)</t>
  </si>
  <si>
    <t>(Less) City Reimbursement</t>
  </si>
  <si>
    <t>Total Surface Parking</t>
  </si>
  <si>
    <t xml:space="preserve">Structured Parking </t>
  </si>
  <si>
    <t xml:space="preserve">Office </t>
  </si>
  <si>
    <t>Phase I..Now Condos</t>
  </si>
  <si>
    <t>(1) Value PSF was derived through comparabe property sales, and discussions with Cohen Financial</t>
  </si>
  <si>
    <t>Majority of Home Depot Lot (2)</t>
  </si>
  <si>
    <t>(2) Property includes additional year of appreciation, as property is purchased in 2019</t>
  </si>
  <si>
    <t>Affordable Rents PSF</t>
  </si>
  <si>
    <t>Apartment Rents PSF (Monthly)</t>
  </si>
  <si>
    <t>Parking Structure Monthly Rate</t>
  </si>
  <si>
    <t>From comparable structures in River North</t>
  </si>
  <si>
    <t>Hourly Parking Rates</t>
  </si>
  <si>
    <t>(1) All demolition costs are to occur in Year 0 (2017-2018).</t>
  </si>
  <si>
    <t>From CoStar and JLL Industrial Reports</t>
  </si>
  <si>
    <t>From CBRE and Real Capital Analytics Retail Reports. Additionally, compared with comparables in City North.</t>
  </si>
  <si>
    <t>Include entitlement stuff</t>
  </si>
  <si>
    <t>Apartments (Market) (10)</t>
  </si>
  <si>
    <t>Condos (9)</t>
  </si>
  <si>
    <t>Project Buildout by Development Units</t>
  </si>
  <si>
    <t>Affordable Condos</t>
  </si>
  <si>
    <t>Total (Condos-Affordable)</t>
  </si>
  <si>
    <t>Affordable Sales Price PSF</t>
  </si>
  <si>
    <t>Affordable For-Sale Housing</t>
  </si>
  <si>
    <t>Waterfront</t>
  </si>
  <si>
    <t>Need More infrastructure costs</t>
  </si>
  <si>
    <r>
      <t xml:space="preserve">Total </t>
    </r>
    <r>
      <rPr>
        <b/>
        <vertAlign val="superscript"/>
        <sz val="12"/>
        <rFont val="Arial"/>
        <family val="2"/>
      </rPr>
      <t>(2)</t>
    </r>
  </si>
  <si>
    <t>TIFWorks (1)</t>
  </si>
  <si>
    <t>(2) Please note that in addition to the Total Development Costs, this figure also includes a Loan Fee of $6,570,000 (1.00%).</t>
  </si>
  <si>
    <t>(1) TIFWorks subsidies for the educational institution development</t>
  </si>
  <si>
    <t>Industrial and Institutional</t>
  </si>
  <si>
    <t>TIFWorks</t>
  </si>
  <si>
    <t>CTA Transit Grant</t>
  </si>
  <si>
    <t>Loan Fee</t>
  </si>
  <si>
    <t>How should I put the land that we are contributing in equity?</t>
  </si>
  <si>
    <t>Reinvest funds</t>
  </si>
  <si>
    <t>Do cost estimates seam reasonable</t>
  </si>
  <si>
    <t>Grant funding reasonable</t>
  </si>
  <si>
    <t>Current IRR work?</t>
  </si>
  <si>
    <t>(2) Soft Costs have been estimated as 20.00% of Hard Costs.</t>
  </si>
  <si>
    <t>Amenity/Institution Phase 2</t>
  </si>
  <si>
    <t>Amenity/Institution Phase 3</t>
  </si>
  <si>
    <t>Based on (1/3) of 80% AMI for a family of 2</t>
  </si>
  <si>
    <t>Based a mortgage on (1/3) of 80% AMI for a family of 2</t>
  </si>
  <si>
    <t>Land Contribution</t>
  </si>
  <si>
    <t>Developer Land Equity</t>
  </si>
  <si>
    <t>Windy City Opportunity Fund</t>
  </si>
  <si>
    <t>LIHTC</t>
  </si>
  <si>
    <t>LIHTC (2)</t>
  </si>
  <si>
    <t xml:space="preserve">(2) Based on the applicable federal rate of 7.56% on eligible construction, and adjusted based on review of comparable allocations </t>
  </si>
  <si>
    <t>Industrial, Greenhouse, and Educational Institution</t>
  </si>
  <si>
    <t>Industrial, Greenhouse, Educational Institution</t>
  </si>
  <si>
    <t>Industrial, Greenhouse, and Educational Insitution</t>
  </si>
  <si>
    <t>Industrial, Greenhouse, and Education Center</t>
  </si>
  <si>
    <t xml:space="preserve">Landscaping </t>
  </si>
  <si>
    <t>Riverwalk and Waterfront</t>
  </si>
  <si>
    <t>2 Platform Pedestrian Bridges</t>
  </si>
  <si>
    <t>Comparison with and averages taken from CoStar, JLL reports, Real Capital Analytics, CBRE reports and discussions With Cohen Financial</t>
  </si>
  <si>
    <t>Estimated from discussions with Cohen Financial, and available rates for hotels in the area, taken from tripadvisor.com and hotels.com</t>
  </si>
  <si>
    <t>Leveragaged Cash Flows</t>
  </si>
  <si>
    <t>* $2.00 PSF in Demolition and Remediation Costs</t>
  </si>
  <si>
    <t>Demolition and Remediation Costs</t>
  </si>
  <si>
    <t>Own</t>
  </si>
  <si>
    <t>Own or</t>
  </si>
  <si>
    <t>Purchase</t>
  </si>
  <si>
    <t>Combined SF for Parcel A and 414,647 of Home Depot Parcel</t>
  </si>
  <si>
    <t>* $1.25 PSF in Demolition Costs</t>
  </si>
  <si>
    <t>Syndicated Construction to Mini-Perm Facility (Bank of the Ozarks and Wells Fargo)</t>
  </si>
  <si>
    <t>HOME</t>
  </si>
  <si>
    <t>CDGB</t>
  </si>
  <si>
    <r>
      <t xml:space="preserve">Total </t>
    </r>
    <r>
      <rPr>
        <b/>
        <vertAlign val="superscript"/>
        <sz val="12"/>
        <rFont val="Arial"/>
        <family val="2"/>
      </rPr>
      <t>(5)</t>
    </r>
  </si>
  <si>
    <r>
      <t xml:space="preserve">HOME </t>
    </r>
    <r>
      <rPr>
        <vertAlign val="superscript"/>
        <sz val="12"/>
        <rFont val="Arial"/>
        <family val="2"/>
      </rPr>
      <t>(2)</t>
    </r>
  </si>
  <si>
    <r>
      <t xml:space="preserve">TIFWorks </t>
    </r>
    <r>
      <rPr>
        <vertAlign val="superscript"/>
        <sz val="12"/>
        <rFont val="Arial"/>
        <family val="2"/>
      </rPr>
      <t>(1)</t>
    </r>
  </si>
  <si>
    <r>
      <t xml:space="preserve">CDGB </t>
    </r>
    <r>
      <rPr>
        <vertAlign val="superscript"/>
        <sz val="12"/>
        <rFont val="Arial"/>
        <family val="2"/>
      </rPr>
      <t>(3)</t>
    </r>
  </si>
  <si>
    <r>
      <t xml:space="preserve">LIHTC </t>
    </r>
    <r>
      <rPr>
        <vertAlign val="superscript"/>
        <sz val="12"/>
        <rFont val="Arial"/>
        <family val="2"/>
      </rPr>
      <t>(4)</t>
    </r>
  </si>
  <si>
    <t>N and NE Parcels of Home Depot Lot (2)</t>
  </si>
  <si>
    <t>Water Taxi Dock</t>
  </si>
  <si>
    <t>(2) TIFWorks subsidies for the educational institution development</t>
  </si>
  <si>
    <t>(3) Financing a portion of the hard costs for development of affordable housing, and calculated based on review of appropriations and comparable allocations for the HOME Grant program</t>
  </si>
  <si>
    <t>(4) CDGB Fund used toward the site clearance and demolition related to the development of affordable housing, and calculated based review of the city of Chicago Grant Budget and Allocation</t>
  </si>
  <si>
    <t xml:space="preserve">(5) Based on the applicable federal rate of 7.56% on eligible construction, and adjusted based on review of comparable allocations </t>
  </si>
  <si>
    <t>(6) Please note that in addition to the Total Development Costs, this figure also includes a Loan Fee of $6,570,000 (1.00%).</t>
  </si>
  <si>
    <t>(1) TIF financing for the community improvements and infrastructure, including street renovation, pedestrian bridges, water taxi dock, and riverwalk and waterfront development. CTA funding for the train platform.</t>
  </si>
  <si>
    <t>TIF and CTA Financing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</si>
</sst>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#,###\ &quot;Units&quot;"/>
    <numFmt numFmtId="168" formatCode="#,##0\ &quot;SF&quot;"/>
    <numFmt numFmtId="169" formatCode="#,###\ &quot;Rooms&quot;"/>
    <numFmt numFmtId="170" formatCode="_(* #,##0.0000_);_(* \(#,##0.0000\);_(* &quot;-&quot;??_);_(@_)"/>
    <numFmt numFmtId="171" formatCode="#,###\ &quot;Spaces&quot;"/>
    <numFmt numFmtId="172" formatCode="#,##0.0"/>
    <numFmt numFmtId="173" formatCode="0.00000000000%"/>
    <numFmt numFmtId="174" formatCode="&quot;$&quot;#,##0;[Red]\(&quot;$&quot;#,##0\)"/>
    <numFmt numFmtId="175" formatCode="&quot;$&quot;#,##0.0;\(&quot;$&quot;#,##0.00\)"/>
    <numFmt numFmtId="176" formatCode="&quot;$&quot;#,##0.00;\(&quot;$&quot;#,##0.00\)"/>
    <numFmt numFmtId="177" formatCode="_(* #,##0_);_(* \(#,##0\);_(* &quot;-&quot;??_);_(@_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sz val="12"/>
      <color rgb="FF0000FF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rgb="FF008000"/>
      <name val="Arial"/>
      <family val="2"/>
    </font>
    <font>
      <sz val="12"/>
      <color rgb="FF008000"/>
      <name val="Arial"/>
      <family val="2"/>
    </font>
    <font>
      <sz val="10"/>
      <color rgb="FF0000FF"/>
      <name val="Arial Narrow"/>
      <family val="2"/>
    </font>
    <font>
      <sz val="10"/>
      <color rgb="FF008000"/>
      <name val="Arial Narrow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00800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theme="1"/>
      <name val="optima"/>
      <family val="2"/>
    </font>
    <font>
      <b/>
      <sz val="12"/>
      <color theme="0"/>
      <name val="Arial"/>
      <family val="2"/>
    </font>
    <font>
      <sz val="10"/>
      <color theme="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9" fillId="0" borderId="0">
      <alignment horizontal="left"/>
    </xf>
    <xf numFmtId="0" fontId="30" fillId="0" borderId="0">
      <alignment horizontal="left"/>
    </xf>
    <xf numFmtId="3" fontId="31" fillId="0" borderId="0">
      <alignment horizontal="right"/>
    </xf>
    <xf numFmtId="172" fontId="31" fillId="0" borderId="0">
      <alignment horizontal="right"/>
    </xf>
    <xf numFmtId="4" fontId="31" fillId="0" borderId="0">
      <alignment horizontal="right"/>
    </xf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1" fillId="0" borderId="0">
      <alignment horizontal="right"/>
    </xf>
    <xf numFmtId="175" fontId="31" fillId="0" borderId="0">
      <alignment horizontal="right"/>
    </xf>
    <xf numFmtId="176" fontId="31" fillId="0" borderId="0">
      <alignment horizontal="right"/>
    </xf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31" fillId="0" borderId="0"/>
    <xf numFmtId="1" fontId="31" fillId="0" borderId="0">
      <alignment horizontal="right"/>
    </xf>
    <xf numFmtId="9" fontId="31" fillId="0" borderId="0">
      <alignment horizontal="right"/>
    </xf>
    <xf numFmtId="164" fontId="31" fillId="0" borderId="0">
      <alignment horizontal="right"/>
    </xf>
    <xf numFmtId="10" fontId="31" fillId="0" borderId="0">
      <alignment horizontal="right"/>
    </xf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7" fillId="0" borderId="1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7" fillId="0" borderId="0" xfId="3" applyFont="1" applyFill="1" applyBorder="1" applyAlignment="1"/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Fill="1" applyAlignment="1">
      <alignment horizontal="center"/>
    </xf>
    <xf numFmtId="0" fontId="7" fillId="0" borderId="2" xfId="3" applyFont="1" applyBorder="1" applyAlignment="1"/>
    <xf numFmtId="0" fontId="8" fillId="2" borderId="2" xfId="3" applyFont="1" applyFill="1" applyBorder="1" applyAlignment="1">
      <alignment horizontal="center"/>
    </xf>
    <xf numFmtId="0" fontId="7" fillId="2" borderId="2" xfId="3" applyFont="1" applyFill="1" applyBorder="1" applyAlignment="1"/>
    <xf numFmtId="0" fontId="7" fillId="0" borderId="6" xfId="3" applyFont="1" applyBorder="1" applyAlignment="1">
      <alignment horizontal="center"/>
    </xf>
    <xf numFmtId="0" fontId="7" fillId="0" borderId="6" xfId="3" applyFont="1" applyFill="1" applyBorder="1" applyAlignment="1"/>
    <xf numFmtId="0" fontId="7" fillId="0" borderId="0" xfId="3" applyFont="1" applyAlignment="1"/>
    <xf numFmtId="0" fontId="8" fillId="2" borderId="1" xfId="3" applyFont="1" applyFill="1" applyBorder="1" applyAlignment="1"/>
    <xf numFmtId="0" fontId="8" fillId="2" borderId="2" xfId="3" applyFont="1" applyFill="1" applyBorder="1" applyAlignment="1"/>
    <xf numFmtId="0" fontId="7" fillId="2" borderId="3" xfId="3" applyFont="1" applyFill="1" applyBorder="1" applyAlignment="1"/>
    <xf numFmtId="0" fontId="8" fillId="0" borderId="0" xfId="3" applyFont="1" applyBorder="1" applyAlignment="1"/>
    <xf numFmtId="0" fontId="8" fillId="0" borderId="0" xfId="3" applyFont="1" applyFill="1" applyBorder="1" applyAlignment="1"/>
    <xf numFmtId="0" fontId="7" fillId="0" borderId="0" xfId="3" applyFont="1" applyFill="1" applyAlignment="1"/>
    <xf numFmtId="0" fontId="8" fillId="2" borderId="1" xfId="3" applyFont="1" applyFill="1" applyBorder="1" applyAlignment="1">
      <alignment horizontal="left"/>
    </xf>
    <xf numFmtId="0" fontId="8" fillId="2" borderId="2" xfId="3" applyFont="1" applyFill="1" applyBorder="1" applyAlignment="1">
      <alignment horizontal="left"/>
    </xf>
    <xf numFmtId="0" fontId="8" fillId="0" borderId="6" xfId="3" applyFont="1" applyBorder="1" applyAlignment="1"/>
    <xf numFmtId="0" fontId="8" fillId="0" borderId="8" xfId="3" applyFont="1" applyFill="1" applyBorder="1" applyAlignment="1"/>
    <xf numFmtId="0" fontId="7" fillId="0" borderId="4" xfId="3" applyFont="1" applyFill="1" applyBorder="1" applyAlignment="1"/>
    <xf numFmtId="0" fontId="7" fillId="0" borderId="1" xfId="3" applyFont="1" applyBorder="1" applyAlignment="1"/>
    <xf numFmtId="0" fontId="8" fillId="0" borderId="1" xfId="3" applyFont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0" fontId="7" fillId="0" borderId="10" xfId="3" applyFont="1" applyBorder="1" applyAlignment="1"/>
    <xf numFmtId="0" fontId="8" fillId="0" borderId="12" xfId="3" applyFont="1" applyBorder="1" applyAlignment="1"/>
    <xf numFmtId="0" fontId="0" fillId="3" borderId="0" xfId="0" applyFill="1"/>
    <xf numFmtId="0" fontId="2" fillId="3" borderId="0" xfId="0" applyFont="1" applyFill="1"/>
    <xf numFmtId="0" fontId="11" fillId="3" borderId="8" xfId="3" applyFont="1" applyFill="1" applyBorder="1" applyAlignment="1">
      <alignment horizontal="centerContinuous"/>
    </xf>
    <xf numFmtId="0" fontId="12" fillId="3" borderId="4" xfId="3" applyFont="1" applyFill="1" applyBorder="1" applyAlignment="1">
      <alignment horizontal="centerContinuous"/>
    </xf>
    <xf numFmtId="0" fontId="2" fillId="3" borderId="4" xfId="3" applyFont="1" applyFill="1" applyBorder="1" applyAlignment="1">
      <alignment horizontal="centerContinuous"/>
    </xf>
    <xf numFmtId="0" fontId="2" fillId="3" borderId="9" xfId="3" applyFont="1" applyFill="1" applyBorder="1" applyAlignment="1">
      <alignment horizontal="centerContinuous"/>
    </xf>
    <xf numFmtId="0" fontId="11" fillId="3" borderId="2" xfId="3" applyFont="1" applyFill="1" applyBorder="1" applyAlignment="1">
      <alignment horizontal="centerContinuous"/>
    </xf>
    <xf numFmtId="0" fontId="2" fillId="3" borderId="2" xfId="3" applyFont="1" applyFill="1" applyBorder="1" applyAlignment="1">
      <alignment horizontal="centerContinuous"/>
    </xf>
    <xf numFmtId="0" fontId="2" fillId="3" borderId="3" xfId="3" applyFont="1" applyFill="1" applyBorder="1" applyAlignment="1">
      <alignment horizontal="centerContinuous"/>
    </xf>
    <xf numFmtId="0" fontId="2" fillId="3" borderId="1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3" borderId="3" xfId="3" applyFont="1" applyFill="1" applyBorder="1" applyAlignment="1">
      <alignment horizontal="center"/>
    </xf>
    <xf numFmtId="0" fontId="2" fillId="3" borderId="8" xfId="3" applyFont="1" applyFill="1" applyBorder="1" applyAlignment="1"/>
    <xf numFmtId="0" fontId="2" fillId="3" borderId="4" xfId="3" applyFont="1" applyFill="1" applyBorder="1" applyAlignment="1"/>
    <xf numFmtId="0" fontId="11" fillId="3" borderId="4" xfId="3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Continuous"/>
    </xf>
    <xf numFmtId="0" fontId="16" fillId="4" borderId="4" xfId="0" applyFont="1" applyFill="1" applyBorder="1" applyAlignment="1">
      <alignment horizontal="centerContinuous"/>
    </xf>
    <xf numFmtId="0" fontId="16" fillId="4" borderId="9" xfId="0" applyFont="1" applyFill="1" applyBorder="1" applyAlignment="1">
      <alignment horizontal="centerContinuous"/>
    </xf>
    <xf numFmtId="0" fontId="16" fillId="4" borderId="12" xfId="0" applyFont="1" applyFill="1" applyBorder="1" applyAlignment="1">
      <alignment horizontal="centerContinuous"/>
    </xf>
    <xf numFmtId="0" fontId="16" fillId="4" borderId="6" xfId="0" applyFont="1" applyFill="1" applyBorder="1" applyAlignment="1">
      <alignment horizontal="centerContinuous"/>
    </xf>
    <xf numFmtId="0" fontId="16" fillId="4" borderId="7" xfId="0" applyFont="1" applyFill="1" applyBorder="1" applyAlignment="1">
      <alignment horizontal="centerContinuous"/>
    </xf>
    <xf numFmtId="0" fontId="11" fillId="3" borderId="0" xfId="0" applyFont="1" applyFill="1"/>
    <xf numFmtId="0" fontId="2" fillId="3" borderId="0" xfId="0" applyFont="1" applyFill="1" applyAlignment="1">
      <alignment horizontal="center"/>
    </xf>
    <xf numFmtId="3" fontId="17" fillId="3" borderId="0" xfId="0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13" fillId="3" borderId="10" xfId="0" applyFont="1" applyFill="1" applyBorder="1"/>
    <xf numFmtId="0" fontId="2" fillId="3" borderId="10" xfId="0" applyFont="1" applyFill="1" applyBorder="1"/>
    <xf numFmtId="0" fontId="2" fillId="3" borderId="0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0" fontId="2" fillId="3" borderId="0" xfId="0" applyFont="1" applyFill="1" applyBorder="1"/>
    <xf numFmtId="0" fontId="0" fillId="3" borderId="4" xfId="0" applyFill="1" applyBorder="1" applyAlignment="1">
      <alignment horizontal="centerContinuous"/>
    </xf>
    <xf numFmtId="0" fontId="0" fillId="3" borderId="0" xfId="0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2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0" fontId="5" fillId="4" borderId="3" xfId="3" applyFont="1" applyFill="1" applyBorder="1" applyAlignment="1">
      <alignment horizontal="left"/>
    </xf>
    <xf numFmtId="0" fontId="5" fillId="4" borderId="1" xfId="3" applyFont="1" applyFill="1" applyBorder="1" applyAlignment="1"/>
    <xf numFmtId="0" fontId="5" fillId="4" borderId="2" xfId="3" applyFont="1" applyFill="1" applyBorder="1" applyAlignment="1"/>
    <xf numFmtId="0" fontId="5" fillId="4" borderId="3" xfId="3" applyFont="1" applyFill="1" applyBorder="1" applyAlignment="1"/>
    <xf numFmtId="0" fontId="2" fillId="3" borderId="1" xfId="0" applyFont="1" applyFill="1" applyBorder="1"/>
    <xf numFmtId="0" fontId="0" fillId="3" borderId="2" xfId="0" applyFill="1" applyBorder="1"/>
    <xf numFmtId="0" fontId="11" fillId="3" borderId="1" xfId="0" applyFont="1" applyFill="1" applyBorder="1"/>
    <xf numFmtId="0" fontId="11" fillId="3" borderId="2" xfId="0" applyFont="1" applyFill="1" applyBorder="1"/>
    <xf numFmtId="3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0" fillId="3" borderId="0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6" xfId="0" applyNumberFormat="1" applyFill="1" applyBorder="1"/>
    <xf numFmtId="3" fontId="0" fillId="3" borderId="12" xfId="0" applyNumberFormat="1" applyFill="1" applyBorder="1"/>
    <xf numFmtId="3" fontId="0" fillId="3" borderId="7" xfId="0" applyNumberFormat="1" applyFill="1" applyBorder="1"/>
    <xf numFmtId="3" fontId="0" fillId="3" borderId="4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1" fillId="3" borderId="6" xfId="3" applyFont="1" applyFill="1" applyBorder="1" applyAlignment="1">
      <alignment horizontal="center"/>
    </xf>
    <xf numFmtId="0" fontId="11" fillId="3" borderId="12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Continuous"/>
    </xf>
    <xf numFmtId="0" fontId="12" fillId="3" borderId="2" xfId="3" applyFont="1" applyFill="1" applyBorder="1" applyAlignment="1">
      <alignment horizontal="centerContinuous"/>
    </xf>
    <xf numFmtId="9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0" xfId="3" applyFont="1" applyFill="1" applyBorder="1" applyAlignment="1">
      <alignment horizontal="left"/>
    </xf>
    <xf numFmtId="0" fontId="2" fillId="3" borderId="10" xfId="0" applyFont="1" applyFill="1" applyBorder="1" applyAlignment="1"/>
    <xf numFmtId="0" fontId="11" fillId="3" borderId="10" xfId="0" applyFont="1" applyFill="1" applyBorder="1"/>
    <xf numFmtId="0" fontId="11" fillId="3" borderId="12" xfId="0" applyFont="1" applyFill="1" applyBorder="1"/>
    <xf numFmtId="0" fontId="11" fillId="3" borderId="6" xfId="0" applyFont="1" applyFill="1" applyBorder="1"/>
    <xf numFmtId="9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0" xfId="0" applyFont="1" applyFill="1" applyAlignment="1">
      <alignment horizontal="left"/>
    </xf>
    <xf numFmtId="0" fontId="11" fillId="3" borderId="12" xfId="0" applyFont="1" applyFill="1" applyBorder="1" applyAlignment="1"/>
    <xf numFmtId="0" fontId="11" fillId="3" borderId="6" xfId="0" applyFont="1" applyFill="1" applyBorder="1" applyAlignment="1"/>
    <xf numFmtId="10" fontId="2" fillId="3" borderId="6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6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right"/>
    </xf>
    <xf numFmtId="10" fontId="17" fillId="3" borderId="0" xfId="0" applyNumberFormat="1" applyFont="1" applyFill="1" applyBorder="1" applyAlignment="1">
      <alignment horizontal="center"/>
    </xf>
    <xf numFmtId="0" fontId="2" fillId="3" borderId="8" xfId="0" applyFont="1" applyFill="1" applyBorder="1"/>
    <xf numFmtId="43" fontId="17" fillId="3" borderId="11" xfId="0" applyNumberFormat="1" applyFont="1" applyFill="1" applyBorder="1" applyAlignment="1">
      <alignment horizontal="center"/>
    </xf>
    <xf numFmtId="10" fontId="17" fillId="3" borderId="7" xfId="0" applyNumberFormat="1" applyFont="1" applyFill="1" applyBorder="1" applyAlignment="1">
      <alignment horizontal="right"/>
    </xf>
    <xf numFmtId="44" fontId="16" fillId="4" borderId="1" xfId="0" applyNumberFormat="1" applyFont="1" applyFill="1" applyBorder="1" applyAlignment="1">
      <alignment horizontal="centerContinuous"/>
    </xf>
    <xf numFmtId="44" fontId="18" fillId="4" borderId="2" xfId="0" applyNumberFormat="1" applyFont="1" applyFill="1" applyBorder="1" applyAlignment="1">
      <alignment horizontal="centerContinuous"/>
    </xf>
    <xf numFmtId="44" fontId="18" fillId="4" borderId="3" xfId="0" applyNumberFormat="1" applyFont="1" applyFill="1" applyBorder="1" applyAlignment="1">
      <alignment horizontal="centerContinuous"/>
    </xf>
    <xf numFmtId="0" fontId="11" fillId="3" borderId="15" xfId="3" applyFont="1" applyFill="1" applyBorder="1" applyAlignment="1">
      <alignment horizontal="center"/>
    </xf>
    <xf numFmtId="9" fontId="2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0" fontId="2" fillId="3" borderId="16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/>
    </xf>
    <xf numFmtId="0" fontId="19" fillId="3" borderId="15" xfId="3" applyFont="1" applyFill="1" applyBorder="1" applyAlignment="1">
      <alignment horizontal="center"/>
    </xf>
    <xf numFmtId="42" fontId="2" fillId="3" borderId="16" xfId="0" applyNumberFormat="1" applyFont="1" applyFill="1" applyBorder="1" applyAlignment="1">
      <alignment horizontal="center"/>
    </xf>
    <xf numFmtId="41" fontId="2" fillId="3" borderId="16" xfId="0" applyNumberFormat="1" applyFont="1" applyFill="1" applyBorder="1" applyAlignment="1">
      <alignment horizontal="center"/>
    </xf>
    <xf numFmtId="41" fontId="2" fillId="3" borderId="10" xfId="0" applyNumberFormat="1" applyFont="1" applyFill="1" applyBorder="1"/>
    <xf numFmtId="41" fontId="2" fillId="3" borderId="0" xfId="0" applyNumberFormat="1" applyFont="1" applyFill="1" applyBorder="1"/>
    <xf numFmtId="41" fontId="2" fillId="3" borderId="11" xfId="0" applyNumberFormat="1" applyFont="1" applyFill="1" applyBorder="1"/>
    <xf numFmtId="41" fontId="17" fillId="3" borderId="16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42" fontId="11" fillId="3" borderId="17" xfId="0" applyNumberFormat="1" applyFont="1" applyFill="1" applyBorder="1" applyAlignment="1">
      <alignment horizontal="right"/>
    </xf>
    <xf numFmtId="42" fontId="11" fillId="3" borderId="12" xfId="0" applyNumberFormat="1" applyFont="1" applyFill="1" applyBorder="1"/>
    <xf numFmtId="42" fontId="11" fillId="3" borderId="6" xfId="0" applyNumberFormat="1" applyFont="1" applyFill="1" applyBorder="1"/>
    <xf numFmtId="42" fontId="11" fillId="3" borderId="7" xfId="0" applyNumberFormat="1" applyFont="1" applyFill="1" applyBorder="1"/>
    <xf numFmtId="41" fontId="17" fillId="3" borderId="18" xfId="0" applyNumberFormat="1" applyFont="1" applyFill="1" applyBorder="1" applyAlignment="1">
      <alignment horizontal="center"/>
    </xf>
    <xf numFmtId="41" fontId="2" fillId="3" borderId="13" xfId="0" applyNumberFormat="1" applyFont="1" applyFill="1" applyBorder="1"/>
    <xf numFmtId="41" fontId="2" fillId="3" borderId="5" xfId="0" applyNumberFormat="1" applyFont="1" applyFill="1" applyBorder="1"/>
    <xf numFmtId="41" fontId="2" fillId="3" borderId="14" xfId="0" applyNumberFormat="1" applyFont="1" applyFill="1" applyBorder="1"/>
    <xf numFmtId="0" fontId="2" fillId="3" borderId="2" xfId="0" applyFont="1" applyFill="1" applyBorder="1" applyAlignment="1">
      <alignment horizontal="center"/>
    </xf>
    <xf numFmtId="42" fontId="11" fillId="3" borderId="17" xfId="0" applyNumberFormat="1" applyFont="1" applyFill="1" applyBorder="1" applyAlignment="1">
      <alignment horizontal="left"/>
    </xf>
    <xf numFmtId="42" fontId="11" fillId="3" borderId="12" xfId="0" applyNumberFormat="1" applyFont="1" applyFill="1" applyBorder="1" applyAlignment="1">
      <alignment horizontal="left"/>
    </xf>
    <xf numFmtId="42" fontId="11" fillId="3" borderId="6" xfId="0" applyNumberFormat="1" applyFont="1" applyFill="1" applyBorder="1" applyAlignment="1">
      <alignment horizontal="left"/>
    </xf>
    <xf numFmtId="42" fontId="11" fillId="3" borderId="7" xfId="0" applyNumberFormat="1" applyFont="1" applyFill="1" applyBorder="1" applyAlignment="1">
      <alignment horizontal="left"/>
    </xf>
    <xf numFmtId="44" fontId="17" fillId="3" borderId="1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Continuous"/>
    </xf>
    <xf numFmtId="42" fontId="20" fillId="3" borderId="16" xfId="0" applyNumberFormat="1" applyFont="1" applyFill="1" applyBorder="1" applyAlignment="1">
      <alignment horizontal="center"/>
    </xf>
    <xf numFmtId="42" fontId="20" fillId="3" borderId="10" xfId="0" applyNumberFormat="1" applyFont="1" applyFill="1" applyBorder="1"/>
    <xf numFmtId="42" fontId="20" fillId="3" borderId="0" xfId="0" applyNumberFormat="1" applyFont="1" applyFill="1" applyBorder="1"/>
    <xf numFmtId="42" fontId="20" fillId="3" borderId="11" xfId="0" applyNumberFormat="1" applyFont="1" applyFill="1" applyBorder="1"/>
    <xf numFmtId="41" fontId="20" fillId="3" borderId="16" xfId="0" applyNumberFormat="1" applyFont="1" applyFill="1" applyBorder="1" applyAlignment="1">
      <alignment horizontal="center"/>
    </xf>
    <xf numFmtId="41" fontId="20" fillId="3" borderId="10" xfId="0" applyNumberFormat="1" applyFont="1" applyFill="1" applyBorder="1"/>
    <xf numFmtId="41" fontId="20" fillId="3" borderId="0" xfId="0" applyNumberFormat="1" applyFont="1" applyFill="1" applyBorder="1"/>
    <xf numFmtId="41" fontId="20" fillId="3" borderId="11" xfId="0" applyNumberFormat="1" applyFont="1" applyFill="1" applyBorder="1"/>
    <xf numFmtId="41" fontId="20" fillId="3" borderId="18" xfId="0" applyNumberFormat="1" applyFont="1" applyFill="1" applyBorder="1" applyAlignment="1">
      <alignment horizontal="center"/>
    </xf>
    <xf numFmtId="41" fontId="20" fillId="3" borderId="14" xfId="0" applyNumberFormat="1" applyFont="1" applyFill="1" applyBorder="1"/>
    <xf numFmtId="42" fontId="0" fillId="3" borderId="0" xfId="0" applyNumberFormat="1" applyFill="1"/>
    <xf numFmtId="41" fontId="0" fillId="3" borderId="0" xfId="0" applyNumberFormat="1" applyFill="1" applyAlignment="1"/>
    <xf numFmtId="41" fontId="0" fillId="3" borderId="0" xfId="0" applyNumberFormat="1" applyFill="1"/>
    <xf numFmtId="41" fontId="0" fillId="3" borderId="0" xfId="0" applyNumberFormat="1" applyFill="1" applyBorder="1"/>
    <xf numFmtId="42" fontId="0" fillId="3" borderId="0" xfId="0" applyNumberFormat="1" applyFill="1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Continuous"/>
    </xf>
    <xf numFmtId="0" fontId="16" fillId="4" borderId="1" xfId="0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"/>
    </xf>
    <xf numFmtId="1" fontId="20" fillId="3" borderId="0" xfId="0" applyNumberFormat="1" applyFont="1" applyFill="1" applyBorder="1" applyAlignment="1">
      <alignment horizontal="center"/>
    </xf>
    <xf numFmtId="10" fontId="2" fillId="3" borderId="0" xfId="4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17" fillId="3" borderId="6" xfId="4" applyNumberFormat="1" applyFont="1" applyFill="1" applyBorder="1" applyAlignment="1">
      <alignment horizontal="center"/>
    </xf>
    <xf numFmtId="10" fontId="2" fillId="3" borderId="6" xfId="4" applyNumberFormat="1" applyFont="1" applyFill="1" applyBorder="1" applyAlignment="1">
      <alignment horizontal="center"/>
    </xf>
    <xf numFmtId="10" fontId="17" fillId="3" borderId="6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1" fillId="2" borderId="1" xfId="0" applyFont="1" applyFill="1" applyBorder="1"/>
    <xf numFmtId="44" fontId="2" fillId="3" borderId="0" xfId="0" applyNumberFormat="1" applyFont="1" applyFill="1" applyBorder="1" applyAlignment="1">
      <alignment horizontal="right"/>
    </xf>
    <xf numFmtId="44" fontId="2" fillId="3" borderId="1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10" fontId="2" fillId="3" borderId="17" xfId="0" applyNumberFormat="1" applyFont="1" applyFill="1" applyBorder="1" applyAlignment="1">
      <alignment horizontal="center"/>
    </xf>
    <xf numFmtId="0" fontId="2" fillId="2" borderId="1" xfId="0" applyFont="1" applyFill="1" applyBorder="1"/>
    <xf numFmtId="1" fontId="20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right"/>
    </xf>
    <xf numFmtId="10" fontId="17" fillId="3" borderId="12" xfId="4" applyNumberFormat="1" applyFont="1" applyFill="1" applyBorder="1" applyAlignment="1">
      <alignment horizontal="center"/>
    </xf>
    <xf numFmtId="10" fontId="17" fillId="3" borderId="7" xfId="0" applyNumberFormat="1" applyFont="1" applyFill="1" applyBorder="1" applyAlignment="1">
      <alignment horizontal="center"/>
    </xf>
    <xf numFmtId="10" fontId="17" fillId="3" borderId="10" xfId="4" applyNumberFormat="1" applyFont="1" applyFill="1" applyBorder="1" applyAlignment="1">
      <alignment horizontal="center"/>
    </xf>
    <xf numFmtId="10" fontId="17" fillId="3" borderId="11" xfId="0" applyNumberFormat="1" applyFont="1" applyFill="1" applyBorder="1" applyAlignment="1">
      <alignment horizontal="center"/>
    </xf>
    <xf numFmtId="10" fontId="17" fillId="3" borderId="12" xfId="0" applyNumberFormat="1" applyFont="1" applyFill="1" applyBorder="1" applyAlignment="1">
      <alignment horizontal="center"/>
    </xf>
    <xf numFmtId="10" fontId="17" fillId="3" borderId="10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44" fontId="17" fillId="3" borderId="16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left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/>
    <xf numFmtId="3" fontId="20" fillId="3" borderId="11" xfId="0" applyNumberFormat="1" applyFont="1" applyFill="1" applyBorder="1" applyAlignment="1">
      <alignment horizontal="center"/>
    </xf>
    <xf numFmtId="3" fontId="20" fillId="3" borderId="7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>
      <alignment horizontal="center"/>
    </xf>
    <xf numFmtId="10" fontId="17" fillId="3" borderId="5" xfId="0" applyNumberFormat="1" applyFont="1" applyFill="1" applyBorder="1" applyAlignment="1">
      <alignment horizontal="center"/>
    </xf>
    <xf numFmtId="41" fontId="2" fillId="3" borderId="5" xfId="0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left"/>
    </xf>
    <xf numFmtId="41" fontId="2" fillId="3" borderId="14" xfId="0" applyNumberFormat="1" applyFont="1" applyFill="1" applyBorder="1" applyAlignment="1">
      <alignment horizontal="center"/>
    </xf>
    <xf numFmtId="42" fontId="11" fillId="3" borderId="6" xfId="0" applyNumberFormat="1" applyFont="1" applyFill="1" applyBorder="1" applyAlignment="1">
      <alignment horizontal="center"/>
    </xf>
    <xf numFmtId="42" fontId="11" fillId="3" borderId="7" xfId="0" applyNumberFormat="1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41" fontId="20" fillId="3" borderId="5" xfId="0" applyNumberFormat="1" applyFont="1" applyFill="1" applyBorder="1" applyAlignment="1">
      <alignment horizontal="right"/>
    </xf>
    <xf numFmtId="10" fontId="2" fillId="3" borderId="11" xfId="4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center"/>
    </xf>
    <xf numFmtId="41" fontId="20" fillId="3" borderId="1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2" fontId="2" fillId="3" borderId="19" xfId="0" applyNumberFormat="1" applyFont="1" applyFill="1" applyBorder="1" applyAlignment="1">
      <alignment horizontal="center"/>
    </xf>
    <xf numFmtId="42" fontId="2" fillId="3" borderId="8" xfId="0" applyNumberFormat="1" applyFont="1" applyFill="1" applyBorder="1" applyAlignment="1">
      <alignment horizontal="right"/>
    </xf>
    <xf numFmtId="42" fontId="2" fillId="3" borderId="4" xfId="0" applyNumberFormat="1" applyFont="1" applyFill="1" applyBorder="1" applyAlignment="1">
      <alignment horizontal="right"/>
    </xf>
    <xf numFmtId="42" fontId="2" fillId="3" borderId="9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right"/>
    </xf>
    <xf numFmtId="41" fontId="2" fillId="3" borderId="11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center"/>
    </xf>
    <xf numFmtId="4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2" fontId="11" fillId="3" borderId="15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Continuous"/>
    </xf>
    <xf numFmtId="0" fontId="16" fillId="4" borderId="3" xfId="0" applyFont="1" applyFill="1" applyBorder="1" applyAlignment="1">
      <alignment horizontal="centerContinuous"/>
    </xf>
    <xf numFmtId="10" fontId="2" fillId="3" borderId="16" xfId="4" applyNumberFormat="1" applyFont="1" applyFill="1" applyBorder="1" applyAlignment="1">
      <alignment horizontal="center"/>
    </xf>
    <xf numFmtId="10" fontId="2" fillId="3" borderId="10" xfId="4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center"/>
    </xf>
    <xf numFmtId="41" fontId="20" fillId="3" borderId="13" xfId="0" applyNumberFormat="1" applyFont="1" applyFill="1" applyBorder="1" applyAlignment="1">
      <alignment horizontal="right"/>
    </xf>
    <xf numFmtId="42" fontId="11" fillId="3" borderId="17" xfId="0" applyNumberFormat="1" applyFont="1" applyFill="1" applyBorder="1" applyAlignment="1">
      <alignment horizontal="center"/>
    </xf>
    <xf numFmtId="42" fontId="11" fillId="3" borderId="12" xfId="0" applyNumberFormat="1" applyFont="1" applyFill="1" applyBorder="1" applyAlignment="1">
      <alignment horizontal="center"/>
    </xf>
    <xf numFmtId="42" fontId="17" fillId="3" borderId="19" xfId="0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right"/>
    </xf>
    <xf numFmtId="41" fontId="2" fillId="3" borderId="18" xfId="0" applyNumberFormat="1" applyFont="1" applyFill="1" applyBorder="1" applyAlignment="1">
      <alignment horizontal="center"/>
    </xf>
    <xf numFmtId="41" fontId="2" fillId="3" borderId="13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42" fontId="11" fillId="3" borderId="16" xfId="0" applyNumberFormat="1" applyFont="1" applyFill="1" applyBorder="1" applyAlignment="1">
      <alignment horizontal="center"/>
    </xf>
    <xf numFmtId="42" fontId="11" fillId="3" borderId="10" xfId="0" applyNumberFormat="1" applyFont="1" applyFill="1" applyBorder="1" applyAlignment="1">
      <alignment horizontal="right"/>
    </xf>
    <xf numFmtId="42" fontId="11" fillId="3" borderId="0" xfId="0" applyNumberFormat="1" applyFont="1" applyFill="1" applyBorder="1" applyAlignment="1">
      <alignment horizontal="right"/>
    </xf>
    <xf numFmtId="42" fontId="11" fillId="3" borderId="11" xfId="0" applyNumberFormat="1" applyFont="1" applyFill="1" applyBorder="1" applyAlignment="1">
      <alignment horizontal="right"/>
    </xf>
    <xf numFmtId="10" fontId="11" fillId="3" borderId="15" xfId="0" applyNumberFormat="1" applyFont="1" applyFill="1" applyBorder="1" applyAlignment="1">
      <alignment horizontal="center"/>
    </xf>
    <xf numFmtId="3" fontId="17" fillId="3" borderId="11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center"/>
    </xf>
    <xf numFmtId="0" fontId="19" fillId="3" borderId="12" xfId="3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/>
    </xf>
    <xf numFmtId="37" fontId="2" fillId="3" borderId="0" xfId="1" applyNumberFormat="1" applyFont="1" applyFill="1" applyBorder="1" applyAlignment="1">
      <alignment horizontal="center"/>
    </xf>
    <xf numFmtId="44" fontId="2" fillId="3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37" fontId="2" fillId="3" borderId="11" xfId="1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right"/>
    </xf>
    <xf numFmtId="44" fontId="2" fillId="3" borderId="7" xfId="0" applyNumberFormat="1" applyFont="1" applyFill="1" applyBorder="1" applyAlignment="1">
      <alignment horizontal="right"/>
    </xf>
    <xf numFmtId="44" fontId="17" fillId="3" borderId="19" xfId="0" applyNumberFormat="1" applyFont="1" applyFill="1" applyBorder="1" applyAlignment="1">
      <alignment horizontal="center"/>
    </xf>
    <xf numFmtId="44" fontId="17" fillId="3" borderId="17" xfId="0" applyNumberFormat="1" applyFont="1" applyFill="1" applyBorder="1" applyAlignment="1">
      <alignment horizontal="center"/>
    </xf>
    <xf numFmtId="0" fontId="19" fillId="3" borderId="1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3" borderId="10" xfId="0" applyNumberFormat="1" applyFont="1" applyFill="1" applyBorder="1" applyAlignment="1">
      <alignment horizontal="center"/>
    </xf>
    <xf numFmtId="44" fontId="17" fillId="3" borderId="12" xfId="0" applyNumberFormat="1" applyFont="1" applyFill="1" applyBorder="1" applyAlignment="1">
      <alignment horizontal="center"/>
    </xf>
    <xf numFmtId="44" fontId="2" fillId="3" borderId="8" xfId="0" applyNumberFormat="1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/>
    </xf>
    <xf numFmtId="1" fontId="17" fillId="3" borderId="10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37" fontId="2" fillId="3" borderId="10" xfId="1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3" borderId="1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3" fontId="2" fillId="3" borderId="11" xfId="1" applyNumberFormat="1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2" fontId="20" fillId="3" borderId="10" xfId="0" applyNumberFormat="1" applyFont="1" applyFill="1" applyBorder="1" applyAlignment="1">
      <alignment horizontal="right"/>
    </xf>
    <xf numFmtId="42" fontId="20" fillId="3" borderId="0" xfId="0" applyNumberFormat="1" applyFont="1" applyFill="1" applyBorder="1" applyAlignment="1">
      <alignment horizontal="right"/>
    </xf>
    <xf numFmtId="42" fontId="20" fillId="3" borderId="11" xfId="0" applyNumberFormat="1" applyFont="1" applyFill="1" applyBorder="1" applyAlignment="1">
      <alignment horizontal="right"/>
    </xf>
    <xf numFmtId="41" fontId="2" fillId="3" borderId="13" xfId="0" applyNumberFormat="1" applyFont="1" applyFill="1" applyBorder="1" applyAlignment="1">
      <alignment horizontal="right"/>
    </xf>
    <xf numFmtId="41" fontId="2" fillId="3" borderId="5" xfId="0" applyNumberFormat="1" applyFont="1" applyFill="1" applyBorder="1" applyAlignment="1">
      <alignment horizontal="right"/>
    </xf>
    <xf numFmtId="41" fontId="2" fillId="3" borderId="14" xfId="0" applyNumberFormat="1" applyFont="1" applyFill="1" applyBorder="1" applyAlignment="1">
      <alignment horizontal="right"/>
    </xf>
    <xf numFmtId="42" fontId="11" fillId="3" borderId="12" xfId="0" applyNumberFormat="1" applyFont="1" applyFill="1" applyBorder="1" applyAlignment="1">
      <alignment horizontal="right"/>
    </xf>
    <xf numFmtId="42" fontId="11" fillId="3" borderId="6" xfId="0" applyNumberFormat="1" applyFont="1" applyFill="1" applyBorder="1" applyAlignment="1">
      <alignment horizontal="right"/>
    </xf>
    <xf numFmtId="42" fontId="11" fillId="3" borderId="7" xfId="0" applyNumberFormat="1" applyFont="1" applyFill="1" applyBorder="1" applyAlignment="1">
      <alignment horizontal="right"/>
    </xf>
    <xf numFmtId="42" fontId="2" fillId="2" borderId="15" xfId="0" applyNumberFormat="1" applyFont="1" applyFill="1" applyBorder="1" applyAlignment="1">
      <alignment horizontal="center"/>
    </xf>
    <xf numFmtId="42" fontId="2" fillId="2" borderId="1" xfId="0" applyNumberFormat="1" applyFont="1" applyFill="1" applyBorder="1" applyAlignment="1">
      <alignment horizontal="right"/>
    </xf>
    <xf numFmtId="42" fontId="2" fillId="2" borderId="2" xfId="0" applyNumberFormat="1" applyFont="1" applyFill="1" applyBorder="1" applyAlignment="1">
      <alignment horizontal="right"/>
    </xf>
    <xf numFmtId="42" fontId="2" fillId="2" borderId="3" xfId="0" applyNumberFormat="1" applyFont="1" applyFill="1" applyBorder="1" applyAlignment="1">
      <alignment horizontal="right"/>
    </xf>
    <xf numFmtId="0" fontId="13" fillId="3" borderId="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9" xfId="0" applyFont="1" applyFill="1" applyBorder="1"/>
    <xf numFmtId="3" fontId="20" fillId="3" borderId="1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7" fillId="3" borderId="10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2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9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0" fontId="4" fillId="3" borderId="17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44" fontId="4" fillId="3" borderId="16" xfId="0" applyNumberFormat="1" applyFont="1" applyFill="1" applyBorder="1" applyAlignment="1">
      <alignment horizontal="center"/>
    </xf>
    <xf numFmtId="44" fontId="4" fillId="3" borderId="10" xfId="0" applyNumberFormat="1" applyFont="1" applyFill="1" applyBorder="1" applyAlignment="1">
      <alignment horizontal="right"/>
    </xf>
    <xf numFmtId="44" fontId="4" fillId="3" borderId="0" xfId="0" applyNumberFormat="1" applyFont="1" applyFill="1" applyBorder="1" applyAlignment="1">
      <alignment horizontal="right"/>
    </xf>
    <xf numFmtId="44" fontId="4" fillId="3" borderId="11" xfId="0" applyNumberFormat="1" applyFont="1" applyFill="1" applyBorder="1" applyAlignment="1">
      <alignment horizontal="right"/>
    </xf>
    <xf numFmtId="10" fontId="17" fillId="3" borderId="0" xfId="4" applyNumberFormat="1" applyFont="1" applyFill="1" applyBorder="1" applyAlignment="1">
      <alignment horizontal="center"/>
    </xf>
    <xf numFmtId="10" fontId="4" fillId="3" borderId="19" xfId="0" applyNumberFormat="1" applyFont="1" applyFill="1" applyBorder="1" applyAlignment="1">
      <alignment horizontal="center"/>
    </xf>
    <xf numFmtId="1" fontId="23" fillId="3" borderId="0" xfId="0" applyNumberFormat="1" applyFont="1" applyFill="1" applyBorder="1" applyAlignment="1">
      <alignment horizontal="center"/>
    </xf>
    <xf numFmtId="1" fontId="23" fillId="3" borderId="11" xfId="0" applyNumberFormat="1" applyFont="1" applyFill="1" applyBorder="1" applyAlignment="1">
      <alignment horizontal="center"/>
    </xf>
    <xf numFmtId="1" fontId="23" fillId="3" borderId="10" xfId="0" applyNumberFormat="1" applyFont="1" applyFill="1" applyBorder="1" applyAlignment="1">
      <alignment horizontal="center"/>
    </xf>
    <xf numFmtId="42" fontId="20" fillId="3" borderId="10" xfId="0" applyNumberFormat="1" applyFont="1" applyFill="1" applyBorder="1" applyAlignment="1">
      <alignment horizontal="center"/>
    </xf>
    <xf numFmtId="42" fontId="20" fillId="3" borderId="0" xfId="0" applyNumberFormat="1" applyFont="1" applyFill="1" applyBorder="1" applyAlignment="1">
      <alignment horizontal="center"/>
    </xf>
    <xf numFmtId="42" fontId="20" fillId="3" borderId="11" xfId="0" applyNumberFormat="1" applyFont="1" applyFill="1" applyBorder="1" applyAlignment="1">
      <alignment horizontal="center"/>
    </xf>
    <xf numFmtId="44" fontId="2" fillId="3" borderId="0" xfId="0" applyNumberFormat="1" applyFont="1" applyFill="1"/>
    <xf numFmtId="44" fontId="2" fillId="3" borderId="0" xfId="0" applyNumberFormat="1" applyFont="1" applyFill="1" applyBorder="1"/>
    <xf numFmtId="44" fontId="2" fillId="3" borderId="17" xfId="0" applyNumberFormat="1" applyFont="1" applyFill="1" applyBorder="1" applyAlignment="1">
      <alignment horizontal="center"/>
    </xf>
    <xf numFmtId="0" fontId="8" fillId="3" borderId="1" xfId="3" applyFont="1" applyFill="1" applyBorder="1" applyAlignment="1">
      <alignment horizontal="centerContinuous"/>
    </xf>
    <xf numFmtId="0" fontId="9" fillId="3" borderId="2" xfId="3" applyFont="1" applyFill="1" applyBorder="1" applyAlignment="1">
      <alignment horizontal="centerContinuous"/>
    </xf>
    <xf numFmtId="0" fontId="7" fillId="3" borderId="3" xfId="3" applyFont="1" applyFill="1" applyBorder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8" fillId="3" borderId="2" xfId="3" applyFont="1" applyFill="1" applyBorder="1" applyAlignment="1">
      <alignment horizontal="centerContinuous"/>
    </xf>
    <xf numFmtId="0" fontId="7" fillId="3" borderId="2" xfId="3" applyFont="1" applyFill="1" applyBorder="1" applyAlignment="1">
      <alignment horizontal="centerContinuous"/>
    </xf>
    <xf numFmtId="44" fontId="4" fillId="0" borderId="0" xfId="0" applyNumberFormat="1" applyFont="1"/>
    <xf numFmtId="0" fontId="19" fillId="3" borderId="10" xfId="3" applyFont="1" applyFill="1" applyBorder="1" applyAlignment="1">
      <alignment horizontal="center"/>
    </xf>
    <xf numFmtId="0" fontId="11" fillId="3" borderId="0" xfId="3" applyFont="1" applyFill="1" applyBorder="1" applyAlignment="1">
      <alignment horizontal="center"/>
    </xf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19" fillId="3" borderId="8" xfId="3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center"/>
    </xf>
    <xf numFmtId="10" fontId="17" fillId="3" borderId="11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center" wrapText="1"/>
    </xf>
    <xf numFmtId="41" fontId="2" fillId="3" borderId="5" xfId="0" applyNumberFormat="1" applyFont="1" applyFill="1" applyBorder="1" applyAlignment="1">
      <alignment horizontal="right" wrapText="1"/>
    </xf>
    <xf numFmtId="41" fontId="2" fillId="3" borderId="14" xfId="0" applyNumberFormat="1" applyFont="1" applyFill="1" applyBorder="1" applyAlignment="1">
      <alignment horizontal="right" wrapText="1"/>
    </xf>
    <xf numFmtId="41" fontId="2" fillId="3" borderId="18" xfId="0" applyNumberFormat="1" applyFont="1" applyFill="1" applyBorder="1" applyAlignment="1">
      <alignment horizontal="center" wrapText="1"/>
    </xf>
    <xf numFmtId="41" fontId="2" fillId="3" borderId="13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2" fontId="11" fillId="3" borderId="19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9" fillId="3" borderId="6" xfId="3" applyFont="1" applyFill="1" applyBorder="1" applyAlignment="1">
      <alignment horizontal="center"/>
    </xf>
    <xf numFmtId="3" fontId="17" fillId="3" borderId="16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10" fontId="17" fillId="3" borderId="1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3" fontId="2" fillId="3" borderId="9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wrapText="1"/>
    </xf>
    <xf numFmtId="43" fontId="2" fillId="3" borderId="10" xfId="0" applyNumberFormat="1" applyFont="1" applyFill="1" applyBorder="1" applyAlignment="1">
      <alignment horizontal="right"/>
    </xf>
    <xf numFmtId="43" fontId="2" fillId="3" borderId="0" xfId="0" applyNumberFormat="1" applyFont="1" applyFill="1" applyBorder="1" applyAlignment="1">
      <alignment horizontal="right"/>
    </xf>
    <xf numFmtId="43" fontId="2" fillId="3" borderId="11" xfId="0" applyNumberFormat="1" applyFont="1" applyFill="1" applyBorder="1" applyAlignment="1">
      <alignment horizontal="right"/>
    </xf>
    <xf numFmtId="42" fontId="17" fillId="3" borderId="1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44" fontId="2" fillId="0" borderId="0" xfId="0" applyNumberFormat="1" applyFont="1"/>
    <xf numFmtId="10" fontId="11" fillId="3" borderId="0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2" fillId="0" borderId="0" xfId="0" applyFont="1" applyFill="1"/>
    <xf numFmtId="0" fontId="20" fillId="3" borderId="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horizontal="center"/>
    </xf>
    <xf numFmtId="0" fontId="19" fillId="3" borderId="2" xfId="3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44" fontId="17" fillId="3" borderId="0" xfId="2" applyNumberFormat="1" applyFont="1" applyFill="1" applyBorder="1" applyAlignment="1">
      <alignment horizontal="center"/>
    </xf>
    <xf numFmtId="44" fontId="2" fillId="3" borderId="0" xfId="2" applyNumberFormat="1" applyFont="1" applyFill="1" applyBorder="1" applyAlignment="1">
      <alignment horizontal="center"/>
    </xf>
    <xf numFmtId="44" fontId="2" fillId="3" borderId="0" xfId="2" applyNumberFormat="1" applyFont="1" applyFill="1" applyBorder="1"/>
    <xf numFmtId="44" fontId="11" fillId="3" borderId="16" xfId="2" applyNumberFormat="1" applyFont="1" applyFill="1" applyBorder="1"/>
    <xf numFmtId="43" fontId="17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/>
    <xf numFmtId="43" fontId="11" fillId="3" borderId="16" xfId="2" applyNumberFormat="1" applyFont="1" applyFill="1" applyBorder="1"/>
    <xf numFmtId="170" fontId="2" fillId="3" borderId="0" xfId="0" applyNumberFormat="1" applyFont="1" applyFill="1"/>
    <xf numFmtId="43" fontId="17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/>
    <xf numFmtId="43" fontId="11" fillId="3" borderId="17" xfId="2" applyNumberFormat="1" applyFont="1" applyFill="1" applyBorder="1"/>
    <xf numFmtId="0" fontId="2" fillId="4" borderId="9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44" fontId="2" fillId="3" borderId="11" xfId="0" applyNumberFormat="1" applyFont="1" applyFill="1" applyBorder="1"/>
    <xf numFmtId="43" fontId="2" fillId="3" borderId="7" xfId="0" applyNumberFormat="1" applyFont="1" applyFill="1" applyBorder="1"/>
    <xf numFmtId="0" fontId="2" fillId="0" borderId="0" xfId="0" applyFont="1" applyFill="1" applyAlignment="1">
      <alignment horizontal="center"/>
    </xf>
    <xf numFmtId="10" fontId="17" fillId="3" borderId="11" xfId="0" applyNumberFormat="1" applyFont="1" applyFill="1" applyBorder="1" applyAlignment="1"/>
    <xf numFmtId="10" fontId="17" fillId="3" borderId="7" xfId="0" applyNumberFormat="1" applyFont="1" applyFill="1" applyBorder="1" applyAlignment="1"/>
    <xf numFmtId="44" fontId="17" fillId="3" borderId="11" xfId="0" applyNumberFormat="1" applyFont="1" applyFill="1" applyBorder="1"/>
    <xf numFmtId="43" fontId="17" fillId="3" borderId="11" xfId="0" applyNumberFormat="1" applyFont="1" applyFill="1" applyBorder="1"/>
    <xf numFmtId="43" fontId="17" fillId="3" borderId="7" xfId="0" applyNumberFormat="1" applyFont="1" applyFill="1" applyBorder="1"/>
    <xf numFmtId="10" fontId="2" fillId="3" borderId="4" xfId="0" applyNumberFormat="1" applyFont="1" applyFill="1" applyBorder="1" applyAlignment="1">
      <alignment horizontal="center"/>
    </xf>
    <xf numFmtId="10" fontId="2" fillId="3" borderId="19" xfId="0" applyNumberFormat="1" applyFont="1" applyFill="1" applyBorder="1" applyAlignment="1">
      <alignment horizontal="center"/>
    </xf>
    <xf numFmtId="10" fontId="17" fillId="3" borderId="8" xfId="4" applyNumberFormat="1" applyFont="1" applyFill="1" applyBorder="1" applyAlignment="1">
      <alignment horizontal="center"/>
    </xf>
    <xf numFmtId="10" fontId="2" fillId="3" borderId="4" xfId="4" applyNumberFormat="1" applyFont="1" applyFill="1" applyBorder="1" applyAlignment="1">
      <alignment horizontal="center"/>
    </xf>
    <xf numFmtId="10" fontId="17" fillId="3" borderId="9" xfId="0" applyNumberFormat="1" applyFont="1" applyFill="1" applyBorder="1" applyAlignment="1">
      <alignment horizontal="center"/>
    </xf>
    <xf numFmtId="10" fontId="17" fillId="3" borderId="8" xfId="0" applyNumberFormat="1" applyFont="1" applyFill="1" applyBorder="1" applyAlignment="1">
      <alignment horizontal="center"/>
    </xf>
    <xf numFmtId="10" fontId="17" fillId="3" borderId="4" xfId="0" applyNumberFormat="1" applyFont="1" applyFill="1" applyBorder="1" applyAlignment="1">
      <alignment horizontal="center"/>
    </xf>
    <xf numFmtId="10" fontId="2" fillId="3" borderId="9" xfId="0" applyNumberFormat="1" applyFont="1" applyFill="1" applyBorder="1" applyAlignment="1">
      <alignment horizontal="center"/>
    </xf>
    <xf numFmtId="10" fontId="2" fillId="3" borderId="8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right"/>
    </xf>
    <xf numFmtId="41" fontId="2" fillId="3" borderId="6" xfId="0" applyNumberFormat="1" applyFont="1" applyFill="1" applyBorder="1" applyAlignment="1">
      <alignment horizontal="right"/>
    </xf>
    <xf numFmtId="41" fontId="2" fillId="3" borderId="7" xfId="0" applyNumberFormat="1" applyFont="1" applyFill="1" applyBorder="1" applyAlignment="1">
      <alignment horizontal="right"/>
    </xf>
    <xf numFmtId="42" fontId="2" fillId="3" borderId="8" xfId="0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44" fontId="2" fillId="0" borderId="0" xfId="0" applyNumberFormat="1" applyFont="1" applyBorder="1"/>
    <xf numFmtId="41" fontId="17" fillId="3" borderId="17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3" borderId="0" xfId="0" applyFont="1" applyFill="1" applyBorder="1"/>
    <xf numFmtId="3" fontId="20" fillId="3" borderId="9" xfId="0" applyNumberFormat="1" applyFont="1" applyFill="1" applyBorder="1" applyAlignment="1">
      <alignment horizontal="center"/>
    </xf>
    <xf numFmtId="44" fontId="2" fillId="3" borderId="10" xfId="0" applyNumberFormat="1" applyFont="1" applyFill="1" applyBorder="1"/>
    <xf numFmtId="43" fontId="2" fillId="3" borderId="6" xfId="0" applyNumberFormat="1" applyFont="1" applyFill="1" applyBorder="1"/>
    <xf numFmtId="43" fontId="2" fillId="3" borderId="12" xfId="0" applyNumberFormat="1" applyFont="1" applyFill="1" applyBorder="1"/>
    <xf numFmtId="41" fontId="17" fillId="3" borderId="0" xfId="0" applyNumberFormat="1" applyFont="1" applyFill="1" applyBorder="1"/>
    <xf numFmtId="42" fontId="2" fillId="3" borderId="4" xfId="0" applyNumberFormat="1" applyFont="1" applyFill="1" applyBorder="1" applyAlignment="1">
      <alignment horizontal="center"/>
    </xf>
    <xf numFmtId="42" fontId="2" fillId="3" borderId="9" xfId="0" applyNumberFormat="1" applyFont="1" applyFill="1" applyBorder="1" applyAlignment="1">
      <alignment horizontal="center"/>
    </xf>
    <xf numFmtId="41" fontId="2" fillId="3" borderId="6" xfId="0" applyNumberFormat="1" applyFont="1" applyFill="1" applyBorder="1" applyAlignment="1">
      <alignment horizontal="center"/>
    </xf>
    <xf numFmtId="41" fontId="2" fillId="3" borderId="7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43" fontId="17" fillId="3" borderId="12" xfId="0" applyNumberFormat="1" applyFont="1" applyFill="1" applyBorder="1" applyAlignment="1">
      <alignment horizontal="center"/>
    </xf>
    <xf numFmtId="41" fontId="2" fillId="3" borderId="17" xfId="0" applyNumberFormat="1" applyFont="1" applyFill="1" applyBorder="1" applyAlignment="1">
      <alignment horizontal="center"/>
    </xf>
    <xf numFmtId="42" fontId="2" fillId="3" borderId="8" xfId="0" applyNumberFormat="1" applyFont="1" applyFill="1" applyBorder="1"/>
    <xf numFmtId="42" fontId="2" fillId="3" borderId="4" xfId="0" applyNumberFormat="1" applyFont="1" applyFill="1" applyBorder="1"/>
    <xf numFmtId="42" fontId="2" fillId="3" borderId="9" xfId="0" applyNumberFormat="1" applyFont="1" applyFill="1" applyBorder="1"/>
    <xf numFmtId="0" fontId="2" fillId="3" borderId="13" xfId="0" applyFont="1" applyFill="1" applyBorder="1"/>
    <xf numFmtId="0" fontId="11" fillId="3" borderId="12" xfId="0" applyFont="1" applyFill="1" applyBorder="1" applyAlignment="1">
      <alignment horizontal="left"/>
    </xf>
    <xf numFmtId="0" fontId="8" fillId="0" borderId="12" xfId="3" applyFont="1" applyFill="1" applyBorder="1" applyAlignment="1"/>
    <xf numFmtId="0" fontId="5" fillId="3" borderId="0" xfId="3" applyFont="1" applyFill="1" applyBorder="1" applyAlignment="1">
      <alignment horizontal="left"/>
    </xf>
    <xf numFmtId="0" fontId="8" fillId="3" borderId="4" xfId="3" applyFont="1" applyFill="1" applyBorder="1" applyAlignment="1"/>
    <xf numFmtId="0" fontId="8" fillId="3" borderId="4" xfId="3" applyFont="1" applyFill="1" applyBorder="1" applyAlignment="1">
      <alignment horizontal="right"/>
    </xf>
    <xf numFmtId="3" fontId="8" fillId="3" borderId="4" xfId="3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Continuous"/>
    </xf>
    <xf numFmtId="0" fontId="16" fillId="3" borderId="8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3" fillId="3" borderId="0" xfId="0" applyFont="1" applyFill="1" applyBorder="1"/>
    <xf numFmtId="0" fontId="24" fillId="3" borderId="12" xfId="0" applyFont="1" applyFill="1" applyBorder="1"/>
    <xf numFmtId="44" fontId="11" fillId="3" borderId="7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4" fillId="3" borderId="8" xfId="0" applyFont="1" applyFill="1" applyBorder="1"/>
    <xf numFmtId="44" fontId="11" fillId="3" borderId="9" xfId="0" applyNumberFormat="1" applyFont="1" applyFill="1" applyBorder="1"/>
    <xf numFmtId="41" fontId="17" fillId="3" borderId="9" xfId="0" applyNumberFormat="1" applyFont="1" applyFill="1" applyBorder="1"/>
    <xf numFmtId="10" fontId="2" fillId="3" borderId="11" xfId="0" applyNumberFormat="1" applyFont="1" applyFill="1" applyBorder="1"/>
    <xf numFmtId="10" fontId="17" fillId="3" borderId="7" xfId="0" applyNumberFormat="1" applyFont="1" applyFill="1" applyBorder="1"/>
    <xf numFmtId="0" fontId="2" fillId="3" borderId="16" xfId="0" applyFont="1" applyFill="1" applyBorder="1"/>
    <xf numFmtId="42" fontId="2" fillId="3" borderId="16" xfId="0" applyNumberFormat="1" applyFont="1" applyFill="1" applyBorder="1"/>
    <xf numFmtId="42" fontId="11" fillId="3" borderId="17" xfId="0" applyNumberFormat="1" applyFont="1" applyFill="1" applyBorder="1"/>
    <xf numFmtId="0" fontId="2" fillId="3" borderId="23" xfId="0" applyFont="1" applyFill="1" applyBorder="1"/>
    <xf numFmtId="42" fontId="11" fillId="3" borderId="19" xfId="0" applyNumberFormat="1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42" fontId="11" fillId="3" borderId="8" xfId="0" applyNumberFormat="1" applyFont="1" applyFill="1" applyBorder="1"/>
    <xf numFmtId="42" fontId="17" fillId="3" borderId="10" xfId="0" applyNumberFormat="1" applyFont="1" applyFill="1" applyBorder="1"/>
    <xf numFmtId="3" fontId="11" fillId="3" borderId="7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8" xfId="0" applyFont="1" applyFill="1" applyBorder="1"/>
    <xf numFmtId="3" fontId="20" fillId="3" borderId="0" xfId="0" applyNumberFormat="1" applyFont="1" applyFill="1" applyAlignment="1">
      <alignment horizontal="center"/>
    </xf>
    <xf numFmtId="41" fontId="20" fillId="3" borderId="0" xfId="0" applyNumberFormat="1" applyFont="1" applyFill="1"/>
    <xf numFmtId="43" fontId="0" fillId="3" borderId="0" xfId="0" applyNumberFormat="1" applyFill="1"/>
    <xf numFmtId="0" fontId="0" fillId="4" borderId="4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3" borderId="6" xfId="0" applyFill="1" applyBorder="1" applyAlignment="1">
      <alignment horizontal="center"/>
    </xf>
    <xf numFmtId="44" fontId="0" fillId="3" borderId="16" xfId="0" applyNumberFormat="1" applyFill="1" applyBorder="1"/>
    <xf numFmtId="43" fontId="0" fillId="3" borderId="16" xfId="0" applyNumberFormat="1" applyFill="1" applyBorder="1"/>
    <xf numFmtId="42" fontId="0" fillId="3" borderId="16" xfId="0" applyNumberFormat="1" applyFill="1" applyBorder="1"/>
    <xf numFmtId="41" fontId="0" fillId="3" borderId="16" xfId="0" applyNumberFormat="1" applyFill="1" applyBorder="1"/>
    <xf numFmtId="0" fontId="0" fillId="4" borderId="6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3" fontId="11" fillId="3" borderId="12" xfId="0" applyNumberFormat="1" applyFont="1" applyFill="1" applyBorder="1" applyAlignment="1">
      <alignment horizontal="center"/>
    </xf>
    <xf numFmtId="44" fontId="11" fillId="3" borderId="17" xfId="0" applyNumberFormat="1" applyFont="1" applyFill="1" applyBorder="1"/>
    <xf numFmtId="0" fontId="0" fillId="3" borderId="5" xfId="0" applyFill="1" applyBorder="1"/>
    <xf numFmtId="41" fontId="20" fillId="3" borderId="4" xfId="0" applyNumberFormat="1" applyFont="1" applyFill="1" applyBorder="1"/>
    <xf numFmtId="3" fontId="20" fillId="3" borderId="4" xfId="0" applyNumberFormat="1" applyFont="1" applyFill="1" applyBorder="1" applyAlignment="1">
      <alignment horizontal="center"/>
    </xf>
    <xf numFmtId="41" fontId="11" fillId="3" borderId="11" xfId="0" applyNumberFormat="1" applyFont="1" applyFill="1" applyBorder="1"/>
    <xf numFmtId="41" fontId="16" fillId="4" borderId="2" xfId="0" applyNumberFormat="1" applyFont="1" applyFill="1" applyBorder="1" applyAlignment="1">
      <alignment horizontal="centerContinuous"/>
    </xf>
    <xf numFmtId="3" fontId="16" fillId="4" borderId="2" xfId="0" applyNumberFormat="1" applyFont="1" applyFill="1" applyBorder="1" applyAlignment="1">
      <alignment horizontal="centerContinuous"/>
    </xf>
    <xf numFmtId="41" fontId="16" fillId="4" borderId="3" xfId="0" applyNumberFormat="1" applyFont="1" applyFill="1" applyBorder="1" applyAlignment="1">
      <alignment horizontal="centerContinuous"/>
    </xf>
    <xf numFmtId="41" fontId="7" fillId="0" borderId="0" xfId="3" applyNumberFormat="1" applyFont="1" applyAlignment="1"/>
    <xf numFmtId="42" fontId="8" fillId="0" borderId="9" xfId="3" applyNumberFormat="1" applyFont="1" applyFill="1" applyBorder="1" applyAlignment="1"/>
    <xf numFmtId="41" fontId="8" fillId="0" borderId="7" xfId="3" applyNumberFormat="1" applyFont="1" applyFill="1" applyBorder="1" applyAlignment="1"/>
    <xf numFmtId="42" fontId="8" fillId="0" borderId="0" xfId="3" applyNumberFormat="1" applyFont="1" applyBorder="1" applyAlignment="1"/>
    <xf numFmtId="0" fontId="8" fillId="3" borderId="4" xfId="3" applyFont="1" applyFill="1" applyBorder="1" applyAlignment="1">
      <alignment horizontal="left"/>
    </xf>
    <xf numFmtId="0" fontId="8" fillId="0" borderId="6" xfId="3" applyFont="1" applyFill="1" applyBorder="1" applyAlignment="1"/>
    <xf numFmtId="0" fontId="2" fillId="3" borderId="0" xfId="3" applyFont="1" applyFill="1"/>
    <xf numFmtId="166" fontId="2" fillId="3" borderId="0" xfId="3" applyNumberFormat="1" applyFont="1" applyFill="1" applyBorder="1"/>
    <xf numFmtId="0" fontId="2" fillId="3" borderId="0" xfId="3" applyFont="1" applyFill="1" applyBorder="1"/>
    <xf numFmtId="10" fontId="2" fillId="3" borderId="0" xfId="3" applyNumberFormat="1" applyFont="1" applyFill="1" applyBorder="1"/>
    <xf numFmtId="0" fontId="2" fillId="3" borderId="10" xfId="3" applyFont="1" applyFill="1" applyBorder="1"/>
    <xf numFmtId="0" fontId="2" fillId="3" borderId="11" xfId="3" applyFont="1" applyFill="1" applyBorder="1"/>
    <xf numFmtId="0" fontId="2" fillId="3" borderId="6" xfId="3" applyFont="1" applyFill="1" applyBorder="1"/>
    <xf numFmtId="0" fontId="2" fillId="4" borderId="4" xfId="3" applyFont="1" applyFill="1" applyBorder="1" applyAlignment="1">
      <alignment horizontal="centerContinuous"/>
    </xf>
    <xf numFmtId="0" fontId="2" fillId="4" borderId="9" xfId="3" applyFont="1" applyFill="1" applyBorder="1" applyAlignment="1">
      <alignment horizontal="centerContinuous"/>
    </xf>
    <xf numFmtId="0" fontId="2" fillId="4" borderId="6" xfId="3" applyFont="1" applyFill="1" applyBorder="1" applyAlignment="1">
      <alignment horizontal="centerContinuous"/>
    </xf>
    <xf numFmtId="0" fontId="11" fillId="4" borderId="7" xfId="3" applyFont="1" applyFill="1" applyBorder="1" applyAlignment="1">
      <alignment horizontal="centerContinuous"/>
    </xf>
    <xf numFmtId="0" fontId="2" fillId="3" borderId="5" xfId="3" applyFont="1" applyFill="1" applyBorder="1"/>
    <xf numFmtId="173" fontId="2" fillId="3" borderId="0" xfId="4" applyNumberFormat="1" applyFont="1" applyFill="1"/>
    <xf numFmtId="42" fontId="20" fillId="3" borderId="11" xfId="3" applyNumberFormat="1" applyFont="1" applyFill="1" applyBorder="1"/>
    <xf numFmtId="41" fontId="2" fillId="3" borderId="11" xfId="3" applyNumberFormat="1" applyFont="1" applyFill="1" applyBorder="1"/>
    <xf numFmtId="0" fontId="2" fillId="3" borderId="13" xfId="3" applyFont="1" applyFill="1" applyBorder="1"/>
    <xf numFmtId="41" fontId="2" fillId="3" borderId="14" xfId="3" applyNumberFormat="1" applyFont="1" applyFill="1" applyBorder="1"/>
    <xf numFmtId="0" fontId="11" fillId="3" borderId="12" xfId="3" applyFont="1" applyFill="1" applyBorder="1"/>
    <xf numFmtId="0" fontId="11" fillId="3" borderId="6" xfId="3" applyFont="1" applyFill="1" applyBorder="1"/>
    <xf numFmtId="0" fontId="13" fillId="3" borderId="10" xfId="3" applyFont="1" applyFill="1" applyBorder="1"/>
    <xf numFmtId="42" fontId="11" fillId="3" borderId="7" xfId="3" applyNumberFormat="1" applyFont="1" applyFill="1" applyBorder="1"/>
    <xf numFmtId="0" fontId="8" fillId="2" borderId="3" xfId="3" applyFont="1" applyFill="1" applyBorder="1" applyAlignment="1">
      <alignment horizontal="center"/>
    </xf>
    <xf numFmtId="6" fontId="2" fillId="3" borderId="0" xfId="3" applyNumberFormat="1" applyFont="1" applyFill="1"/>
    <xf numFmtId="8" fontId="2" fillId="3" borderId="0" xfId="3" applyNumberFormat="1" applyFont="1" applyFill="1"/>
    <xf numFmtId="164" fontId="2" fillId="3" borderId="0" xfId="3" applyNumberFormat="1" applyFont="1" applyFill="1"/>
    <xf numFmtId="6" fontId="2" fillId="3" borderId="0" xfId="3" applyNumberFormat="1" applyFont="1" applyFill="1" applyBorder="1"/>
    <xf numFmtId="0" fontId="2" fillId="3" borderId="19" xfId="3" applyFont="1" applyFill="1" applyBorder="1"/>
    <xf numFmtId="0" fontId="2" fillId="3" borderId="16" xfId="3" applyFont="1" applyFill="1" applyBorder="1"/>
    <xf numFmtId="0" fontId="11" fillId="3" borderId="17" xfId="3" applyFont="1" applyFill="1" applyBorder="1" applyAlignment="1">
      <alignment horizontal="center"/>
    </xf>
    <xf numFmtId="41" fontId="2" fillId="3" borderId="5" xfId="3" applyNumberFormat="1" applyFont="1" applyFill="1" applyBorder="1"/>
    <xf numFmtId="42" fontId="20" fillId="3" borderId="0" xfId="3" applyNumberFormat="1" applyFont="1" applyFill="1" applyBorder="1"/>
    <xf numFmtId="42" fontId="2" fillId="3" borderId="11" xfId="3" applyNumberFormat="1" applyFont="1" applyFill="1" applyBorder="1"/>
    <xf numFmtId="41" fontId="20" fillId="3" borderId="0" xfId="3" applyNumberFormat="1" applyFont="1" applyFill="1" applyBorder="1"/>
    <xf numFmtId="42" fontId="11" fillId="3" borderId="6" xfId="3" applyNumberFormat="1" applyFont="1" applyFill="1" applyBorder="1"/>
    <xf numFmtId="42" fontId="20" fillId="3" borderId="10" xfId="3" applyNumberFormat="1" applyFont="1" applyFill="1" applyBorder="1"/>
    <xf numFmtId="41" fontId="20" fillId="3" borderId="10" xfId="3" applyNumberFormat="1" applyFont="1" applyFill="1" applyBorder="1"/>
    <xf numFmtId="41" fontId="20" fillId="3" borderId="11" xfId="3" applyNumberFormat="1" applyFont="1" applyFill="1" applyBorder="1"/>
    <xf numFmtId="41" fontId="17" fillId="3" borderId="13" xfId="3" applyNumberFormat="1" applyFont="1" applyFill="1" applyBorder="1"/>
    <xf numFmtId="42" fontId="11" fillId="3" borderId="12" xfId="3" applyNumberFormat="1" applyFont="1" applyFill="1" applyBorder="1"/>
    <xf numFmtId="42" fontId="20" fillId="3" borderId="16" xfId="3" applyNumberFormat="1" applyFont="1" applyFill="1" applyBorder="1"/>
    <xf numFmtId="42" fontId="11" fillId="3" borderId="17" xfId="3" applyNumberFormat="1" applyFont="1" applyFill="1" applyBorder="1"/>
    <xf numFmtId="0" fontId="18" fillId="4" borderId="4" xfId="3" applyFont="1" applyFill="1" applyBorder="1" applyAlignment="1">
      <alignment horizontal="centerContinuous"/>
    </xf>
    <xf numFmtId="0" fontId="18" fillId="4" borderId="9" xfId="3" applyFont="1" applyFill="1" applyBorder="1" applyAlignment="1">
      <alignment horizontal="centerContinuous"/>
    </xf>
    <xf numFmtId="0" fontId="18" fillId="4" borderId="6" xfId="3" applyFont="1" applyFill="1" applyBorder="1" applyAlignment="1">
      <alignment horizontal="centerContinuous"/>
    </xf>
    <xf numFmtId="6" fontId="18" fillId="4" borderId="6" xfId="3" applyNumberFormat="1" applyFont="1" applyFill="1" applyBorder="1" applyAlignment="1">
      <alignment horizontal="centerContinuous"/>
    </xf>
    <xf numFmtId="0" fontId="18" fillId="4" borderId="7" xfId="3" applyFont="1" applyFill="1" applyBorder="1" applyAlignment="1">
      <alignment horizontal="centerContinuous"/>
    </xf>
    <xf numFmtId="42" fontId="2" fillId="3" borderId="16" xfId="3" applyNumberFormat="1" applyFont="1" applyFill="1" applyBorder="1"/>
    <xf numFmtId="41" fontId="2" fillId="3" borderId="16" xfId="3" applyNumberFormat="1" applyFont="1" applyFill="1" applyBorder="1"/>
    <xf numFmtId="41" fontId="2" fillId="3" borderId="18" xfId="3" applyNumberFormat="1" applyFont="1" applyFill="1" applyBorder="1"/>
    <xf numFmtId="6" fontId="2" fillId="3" borderId="17" xfId="3" applyNumberFormat="1" applyFont="1" applyFill="1" applyBorder="1"/>
    <xf numFmtId="0" fontId="2" fillId="3" borderId="8" xfId="3" applyFont="1" applyFill="1" applyBorder="1"/>
    <xf numFmtId="6" fontId="2" fillId="3" borderId="4" xfId="3" applyNumberFormat="1" applyFont="1" applyFill="1" applyBorder="1"/>
    <xf numFmtId="6" fontId="2" fillId="3" borderId="9" xfId="3" applyNumberFormat="1" applyFont="1" applyFill="1" applyBorder="1"/>
    <xf numFmtId="6" fontId="2" fillId="3" borderId="11" xfId="3" applyNumberFormat="1" applyFont="1" applyFill="1" applyBorder="1"/>
    <xf numFmtId="42" fontId="2" fillId="3" borderId="0" xfId="3" applyNumberFormat="1" applyFont="1" applyFill="1" applyBorder="1"/>
    <xf numFmtId="0" fontId="2" fillId="3" borderId="12" xfId="3" applyFont="1" applyFill="1" applyBorder="1"/>
    <xf numFmtId="41" fontId="2" fillId="3" borderId="6" xfId="3" applyNumberFormat="1" applyFont="1" applyFill="1" applyBorder="1"/>
    <xf numFmtId="6" fontId="2" fillId="3" borderId="19" xfId="3" applyNumberFormat="1" applyFont="1" applyFill="1" applyBorder="1"/>
    <xf numFmtId="6" fontId="2" fillId="3" borderId="16" xfId="3" applyNumberFormat="1" applyFont="1" applyFill="1" applyBorder="1"/>
    <xf numFmtId="41" fontId="2" fillId="3" borderId="13" xfId="3" applyNumberFormat="1" applyFont="1" applyFill="1" applyBorder="1"/>
    <xf numFmtId="6" fontId="2" fillId="3" borderId="8" xfId="3" applyNumberFormat="1" applyFont="1" applyFill="1" applyBorder="1"/>
    <xf numFmtId="6" fontId="2" fillId="3" borderId="10" xfId="3" applyNumberFormat="1" applyFont="1" applyFill="1" applyBorder="1"/>
    <xf numFmtId="42" fontId="2" fillId="3" borderId="10" xfId="3" applyNumberFormat="1" applyFont="1" applyFill="1" applyBorder="1"/>
    <xf numFmtId="41" fontId="2" fillId="3" borderId="12" xfId="3" applyNumberFormat="1" applyFont="1" applyFill="1" applyBorder="1"/>
    <xf numFmtId="41" fontId="2" fillId="3" borderId="7" xfId="3" applyNumberFormat="1" applyFont="1" applyFill="1" applyBorder="1"/>
    <xf numFmtId="10" fontId="17" fillId="3" borderId="7" xfId="3" applyNumberFormat="1" applyFont="1" applyFill="1" applyBorder="1" applyAlignment="1">
      <alignment horizontal="centerContinuous"/>
    </xf>
    <xf numFmtId="0" fontId="16" fillId="4" borderId="1" xfId="3" applyFont="1" applyFill="1" applyBorder="1" applyAlignment="1">
      <alignment horizontal="centerContinuous"/>
    </xf>
    <xf numFmtId="6" fontId="16" fillId="4" borderId="3" xfId="3" applyNumberFormat="1" applyFont="1" applyFill="1" applyBorder="1" applyAlignment="1">
      <alignment horizontal="centerContinuous"/>
    </xf>
    <xf numFmtId="41" fontId="2" fillId="3" borderId="10" xfId="3" applyNumberFormat="1" applyFont="1" applyFill="1" applyBorder="1"/>
    <xf numFmtId="41" fontId="2" fillId="3" borderId="0" xfId="3" applyNumberFormat="1" applyFont="1" applyFill="1" applyBorder="1"/>
    <xf numFmtId="0" fontId="11" fillId="3" borderId="0" xfId="3" applyFont="1" applyFill="1" applyBorder="1"/>
    <xf numFmtId="42" fontId="11" fillId="3" borderId="0" xfId="3" applyNumberFormat="1" applyFont="1" applyFill="1" applyBorder="1"/>
    <xf numFmtId="42" fontId="11" fillId="3" borderId="15" xfId="3" applyNumberFormat="1" applyFont="1" applyFill="1" applyBorder="1"/>
    <xf numFmtId="42" fontId="11" fillId="3" borderId="16" xfId="3" applyNumberFormat="1" applyFont="1" applyFill="1" applyBorder="1"/>
    <xf numFmtId="0" fontId="11" fillId="3" borderId="8" xfId="3" applyFont="1" applyFill="1" applyBorder="1"/>
    <xf numFmtId="42" fontId="11" fillId="3" borderId="19" xfId="3" applyNumberFormat="1" applyFont="1" applyFill="1" applyBorder="1"/>
    <xf numFmtId="42" fontId="11" fillId="3" borderId="4" xfId="3" applyNumberFormat="1" applyFont="1" applyFill="1" applyBorder="1"/>
    <xf numFmtId="42" fontId="11" fillId="3" borderId="1" xfId="3" applyNumberFormat="1" applyFont="1" applyFill="1" applyBorder="1"/>
    <xf numFmtId="42" fontId="11" fillId="3" borderId="10" xfId="3" applyNumberFormat="1" applyFont="1" applyFill="1" applyBorder="1"/>
    <xf numFmtId="42" fontId="11" fillId="3" borderId="8" xfId="3" applyNumberFormat="1" applyFont="1" applyFill="1" applyBorder="1"/>
    <xf numFmtId="42" fontId="11" fillId="3" borderId="11" xfId="3" applyNumberFormat="1" applyFont="1" applyFill="1" applyBorder="1"/>
    <xf numFmtId="42" fontId="11" fillId="3" borderId="9" xfId="3" applyNumberFormat="1" applyFont="1" applyFill="1" applyBorder="1"/>
    <xf numFmtId="41" fontId="2" fillId="3" borderId="1" xfId="3" applyNumberFormat="1" applyFont="1" applyFill="1" applyBorder="1"/>
    <xf numFmtId="41" fontId="2" fillId="3" borderId="2" xfId="3" applyNumberFormat="1" applyFont="1" applyFill="1" applyBorder="1"/>
    <xf numFmtId="41" fontId="2" fillId="3" borderId="3" xfId="3" applyNumberFormat="1" applyFont="1" applyFill="1" applyBorder="1"/>
    <xf numFmtId="10" fontId="17" fillId="3" borderId="9" xfId="3" applyNumberFormat="1" applyFont="1" applyFill="1" applyBorder="1" applyAlignment="1">
      <alignment horizontal="centerContinuous"/>
    </xf>
    <xf numFmtId="10" fontId="11" fillId="3" borderId="15" xfId="3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wrapText="1"/>
    </xf>
    <xf numFmtId="0" fontId="9" fillId="3" borderId="2" xfId="3" applyFont="1" applyFill="1" applyBorder="1" applyAlignment="1">
      <alignment wrapText="1"/>
    </xf>
    <xf numFmtId="0" fontId="8" fillId="3" borderId="2" xfId="3" applyFont="1" applyFill="1" applyBorder="1" applyAlignment="1">
      <alignment wrapText="1"/>
    </xf>
    <xf numFmtId="0" fontId="8" fillId="3" borderId="1" xfId="3" applyFont="1" applyFill="1" applyBorder="1" applyAlignment="1">
      <alignment horizontal="center"/>
    </xf>
    <xf numFmtId="0" fontId="8" fillId="3" borderId="15" xfId="3" applyFont="1" applyFill="1" applyBorder="1" applyAlignment="1">
      <alignment horizontal="center"/>
    </xf>
    <xf numFmtId="0" fontId="26" fillId="3" borderId="10" xfId="3" applyFont="1" applyFill="1" applyBorder="1" applyAlignment="1"/>
    <xf numFmtId="0" fontId="8" fillId="3" borderId="0" xfId="3" applyFont="1" applyFill="1" applyBorder="1" applyAlignment="1"/>
    <xf numFmtId="0" fontId="7" fillId="3" borderId="0" xfId="3" applyFont="1" applyFill="1" applyBorder="1" applyAlignment="1"/>
    <xf numFmtId="0" fontId="7" fillId="3" borderId="10" xfId="3" applyFont="1" applyFill="1" applyBorder="1" applyAlignment="1"/>
    <xf numFmtId="0" fontId="7" fillId="3" borderId="16" xfId="3" applyFont="1" applyFill="1" applyBorder="1" applyAlignment="1">
      <alignment horizontal="right"/>
    </xf>
    <xf numFmtId="42" fontId="21" fillId="3" borderId="10" xfId="3" applyNumberFormat="1" applyFont="1" applyFill="1" applyBorder="1" applyAlignment="1"/>
    <xf numFmtId="10" fontId="7" fillId="3" borderId="16" xfId="4" applyNumberFormat="1" applyFont="1" applyFill="1" applyBorder="1" applyAlignment="1">
      <alignment horizontal="center"/>
    </xf>
    <xf numFmtId="41" fontId="21" fillId="3" borderId="10" xfId="3" applyNumberFormat="1" applyFont="1" applyFill="1" applyBorder="1" applyAlignment="1"/>
    <xf numFmtId="41" fontId="15" fillId="3" borderId="10" xfId="3" applyNumberFormat="1" applyFont="1" applyFill="1" applyBorder="1" applyAlignment="1"/>
    <xf numFmtId="0" fontId="7" fillId="3" borderId="5" xfId="3" applyFont="1" applyFill="1" applyBorder="1" applyAlignment="1"/>
    <xf numFmtId="0" fontId="8" fillId="3" borderId="12" xfId="3" applyFont="1" applyFill="1" applyBorder="1" applyAlignment="1"/>
    <xf numFmtId="0" fontId="8" fillId="3" borderId="6" xfId="3" applyFont="1" applyFill="1" applyBorder="1" applyAlignment="1"/>
    <xf numFmtId="42" fontId="8" fillId="3" borderId="12" xfId="3" applyNumberFormat="1" applyFont="1" applyFill="1" applyBorder="1" applyAlignment="1"/>
    <xf numFmtId="10" fontId="8" fillId="3" borderId="17" xfId="3" applyNumberFormat="1" applyFont="1" applyFill="1" applyBorder="1" applyAlignment="1">
      <alignment horizontal="center"/>
    </xf>
    <xf numFmtId="0" fontId="8" fillId="3" borderId="1" xfId="3" applyFont="1" applyFill="1" applyBorder="1" applyAlignment="1">
      <alignment horizontal="left"/>
    </xf>
    <xf numFmtId="0" fontId="8" fillId="3" borderId="2" xfId="3" applyFont="1" applyFill="1" applyBorder="1" applyAlignment="1">
      <alignment horizontal="left" wrapText="1"/>
    </xf>
    <xf numFmtId="0" fontId="7" fillId="3" borderId="2" xfId="3" applyFont="1" applyFill="1" applyBorder="1" applyAlignment="1">
      <alignment wrapText="1"/>
    </xf>
    <xf numFmtId="0" fontId="7" fillId="3" borderId="10" xfId="3" applyFont="1" applyFill="1" applyBorder="1" applyAlignment="1">
      <alignment horizontal="left"/>
    </xf>
    <xf numFmtId="0" fontId="7" fillId="3" borderId="0" xfId="3" applyFont="1" applyFill="1" applyBorder="1" applyAlignment="1">
      <alignment horizontal="right"/>
    </xf>
    <xf numFmtId="41" fontId="7" fillId="3" borderId="16" xfId="3" applyNumberFormat="1" applyFont="1" applyFill="1" applyBorder="1" applyAlignment="1"/>
    <xf numFmtId="0" fontId="8" fillId="3" borderId="2" xfId="3" applyFont="1" applyFill="1" applyBorder="1" applyAlignment="1"/>
    <xf numFmtId="0" fontId="7" fillId="3" borderId="3" xfId="3" applyFont="1" applyFill="1" applyBorder="1" applyAlignment="1"/>
    <xf numFmtId="42" fontId="7" fillId="3" borderId="10" xfId="3" applyNumberFormat="1" applyFont="1" applyFill="1" applyBorder="1" applyAlignment="1"/>
    <xf numFmtId="41" fontId="7" fillId="3" borderId="10" xfId="3" applyNumberFormat="1" applyFont="1" applyFill="1" applyBorder="1" applyAlignment="1"/>
    <xf numFmtId="0" fontId="7" fillId="3" borderId="13" xfId="3" applyFont="1" applyFill="1" applyBorder="1" applyAlignment="1">
      <alignment horizontal="left"/>
    </xf>
    <xf numFmtId="0" fontId="7" fillId="3" borderId="5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right"/>
    </xf>
    <xf numFmtId="42" fontId="8" fillId="3" borderId="19" xfId="3" applyNumberFormat="1" applyFont="1" applyFill="1" applyBorder="1" applyAlignment="1"/>
    <xf numFmtId="0" fontId="8" fillId="3" borderId="2" xfId="3" applyFont="1" applyFill="1" applyBorder="1" applyAlignment="1">
      <alignment horizontal="right"/>
    </xf>
    <xf numFmtId="0" fontId="6" fillId="3" borderId="2" xfId="3" applyFont="1" applyFill="1" applyBorder="1" applyAlignment="1"/>
    <xf numFmtId="0" fontId="6" fillId="3" borderId="15" xfId="3" applyFont="1" applyFill="1" applyBorder="1" applyAlignment="1"/>
    <xf numFmtId="42" fontId="8" fillId="3" borderId="15" xfId="3" applyNumberFormat="1" applyFont="1" applyFill="1" applyBorder="1" applyAlignment="1"/>
    <xf numFmtId="168" fontId="21" fillId="3" borderId="0" xfId="3" applyNumberFormat="1" applyFont="1" applyFill="1" applyBorder="1" applyAlignment="1">
      <alignment horizontal="center"/>
    </xf>
    <xf numFmtId="3" fontId="21" fillId="3" borderId="0" xfId="3" applyNumberFormat="1" applyFont="1" applyFill="1" applyBorder="1" applyAlignment="1">
      <alignment horizontal="center"/>
    </xf>
    <xf numFmtId="3" fontId="21" fillId="3" borderId="10" xfId="3" applyNumberFormat="1" applyFont="1" applyFill="1" applyBorder="1" applyAlignment="1">
      <alignment horizontal="center"/>
    </xf>
    <xf numFmtId="3" fontId="21" fillId="3" borderId="11" xfId="3" applyNumberFormat="1" applyFont="1" applyFill="1" applyBorder="1" applyAlignment="1">
      <alignment horizontal="center"/>
    </xf>
    <xf numFmtId="168" fontId="21" fillId="3" borderId="5" xfId="3" applyNumberFormat="1" applyFont="1" applyFill="1" applyBorder="1" applyAlignment="1">
      <alignment horizontal="center"/>
    </xf>
    <xf numFmtId="3" fontId="21" fillId="3" borderId="5" xfId="3" applyNumberFormat="1" applyFont="1" applyFill="1" applyBorder="1" applyAlignment="1">
      <alignment horizontal="center"/>
    </xf>
    <xf numFmtId="3" fontId="21" fillId="3" borderId="13" xfId="3" applyNumberFormat="1" applyFont="1" applyFill="1" applyBorder="1" applyAlignment="1">
      <alignment horizontal="center"/>
    </xf>
    <xf numFmtId="3" fontId="21" fillId="3" borderId="14" xfId="3" applyNumberFormat="1" applyFont="1" applyFill="1" applyBorder="1" applyAlignment="1">
      <alignment horizontal="center"/>
    </xf>
    <xf numFmtId="0" fontId="8" fillId="3" borderId="12" xfId="3" applyFont="1" applyFill="1" applyBorder="1" applyAlignment="1">
      <alignment horizontal="left"/>
    </xf>
    <xf numFmtId="0" fontId="8" fillId="3" borderId="6" xfId="3" applyFont="1" applyFill="1" applyBorder="1" applyAlignment="1">
      <alignment horizontal="right"/>
    </xf>
    <xf numFmtId="3" fontId="8" fillId="3" borderId="6" xfId="3" applyNumberFormat="1" applyFont="1" applyFill="1" applyBorder="1" applyAlignment="1">
      <alignment horizontal="center"/>
    </xf>
    <xf numFmtId="3" fontId="8" fillId="3" borderId="12" xfId="3" applyNumberFormat="1" applyFont="1" applyFill="1" applyBorder="1" applyAlignment="1">
      <alignment horizontal="center"/>
    </xf>
    <xf numFmtId="3" fontId="8" fillId="3" borderId="7" xfId="3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horizontal="left"/>
    </xf>
    <xf numFmtId="3" fontId="21" fillId="3" borderId="8" xfId="3" applyNumberFormat="1" applyFont="1" applyFill="1" applyBorder="1" applyAlignment="1">
      <alignment horizontal="center"/>
    </xf>
    <xf numFmtId="3" fontId="21" fillId="3" borderId="4" xfId="3" applyNumberFormat="1" applyFont="1" applyFill="1" applyBorder="1" applyAlignment="1">
      <alignment horizontal="center"/>
    </xf>
    <xf numFmtId="3" fontId="21" fillId="3" borderId="9" xfId="3" applyNumberFormat="1" applyFont="1" applyFill="1" applyBorder="1" applyAlignment="1">
      <alignment horizontal="center"/>
    </xf>
    <xf numFmtId="1" fontId="21" fillId="3" borderId="0" xfId="3" applyNumberFormat="1" applyFont="1" applyFill="1" applyBorder="1" applyAlignment="1">
      <alignment horizontal="center"/>
    </xf>
    <xf numFmtId="1" fontId="21" fillId="3" borderId="10" xfId="3" applyNumberFormat="1" applyFont="1" applyFill="1" applyBorder="1" applyAlignment="1">
      <alignment horizontal="center"/>
    </xf>
    <xf numFmtId="0" fontId="21" fillId="3" borderId="0" xfId="3" applyFont="1" applyFill="1" applyBorder="1" applyAlignment="1">
      <alignment horizontal="center"/>
    </xf>
    <xf numFmtId="0" fontId="21" fillId="3" borderId="11" xfId="3" applyFont="1" applyFill="1" applyBorder="1" applyAlignment="1">
      <alignment horizontal="center"/>
    </xf>
    <xf numFmtId="0" fontId="21" fillId="3" borderId="10" xfId="3" applyFont="1" applyFill="1" applyBorder="1" applyAlignment="1">
      <alignment horizontal="center"/>
    </xf>
    <xf numFmtId="3" fontId="7" fillId="3" borderId="0" xfId="3" applyNumberFormat="1" applyFont="1" applyFill="1" applyBorder="1" applyAlignment="1">
      <alignment horizontal="center"/>
    </xf>
    <xf numFmtId="3" fontId="7" fillId="3" borderId="10" xfId="3" applyNumberFormat="1" applyFont="1" applyFill="1" applyBorder="1" applyAlignment="1">
      <alignment horizontal="center"/>
    </xf>
    <xf numFmtId="3" fontId="7" fillId="3" borderId="11" xfId="3" applyNumberFormat="1" applyFont="1" applyFill="1" applyBorder="1" applyAlignment="1">
      <alignment horizontal="center"/>
    </xf>
    <xf numFmtId="0" fontId="7" fillId="3" borderId="8" xfId="3" applyFont="1" applyFill="1" applyBorder="1" applyAlignment="1">
      <alignment horizontal="left"/>
    </xf>
    <xf numFmtId="0" fontId="7" fillId="3" borderId="4" xfId="3" applyFont="1" applyFill="1" applyBorder="1" applyAlignment="1"/>
    <xf numFmtId="42" fontId="7" fillId="3" borderId="11" xfId="3" applyNumberFormat="1" applyFont="1" applyFill="1" applyBorder="1" applyAlignment="1">
      <alignment horizontal="center"/>
    </xf>
    <xf numFmtId="42" fontId="7" fillId="3" borderId="0" xfId="3" applyNumberFormat="1" applyFont="1" applyFill="1" applyBorder="1" applyAlignment="1"/>
    <xf numFmtId="42" fontId="7" fillId="3" borderId="11" xfId="3" applyNumberFormat="1" applyFont="1" applyFill="1" applyBorder="1" applyAlignment="1"/>
    <xf numFmtId="41" fontId="7" fillId="3" borderId="11" xfId="3" applyNumberFormat="1" applyFont="1" applyFill="1" applyBorder="1" applyAlignment="1">
      <alignment horizontal="center"/>
    </xf>
    <xf numFmtId="41" fontId="7" fillId="3" borderId="0" xfId="3" applyNumberFormat="1" applyFont="1" applyFill="1" applyBorder="1" applyAlignment="1"/>
    <xf numFmtId="41" fontId="7" fillId="3" borderId="11" xfId="3" applyNumberFormat="1" applyFont="1" applyFill="1" applyBorder="1" applyAlignment="1"/>
    <xf numFmtId="41" fontId="8" fillId="3" borderId="0" xfId="3" applyNumberFormat="1" applyFont="1" applyFill="1" applyBorder="1" applyAlignment="1">
      <alignment horizontal="right"/>
    </xf>
    <xf numFmtId="41" fontId="8" fillId="3" borderId="0" xfId="4" applyNumberFormat="1" applyFont="1" applyFill="1" applyBorder="1" applyAlignment="1">
      <alignment horizontal="center"/>
    </xf>
    <xf numFmtId="41" fontId="21" fillId="3" borderId="11" xfId="3" applyNumberFormat="1" applyFont="1" applyFill="1" applyBorder="1" applyAlignment="1"/>
    <xf numFmtId="10" fontId="15" fillId="3" borderId="0" xfId="3" applyNumberFormat="1" applyFont="1" applyFill="1" applyBorder="1" applyAlignment="1">
      <alignment horizontal="center"/>
    </xf>
    <xf numFmtId="41" fontId="15" fillId="3" borderId="11" xfId="3" applyNumberFormat="1" applyFont="1" applyFill="1" applyBorder="1" applyAlignment="1">
      <alignment horizontal="center"/>
    </xf>
    <xf numFmtId="41" fontId="7" fillId="3" borderId="14" xfId="3" applyNumberFormat="1" applyFont="1" applyFill="1" applyBorder="1" applyAlignment="1">
      <alignment horizontal="center"/>
    </xf>
    <xf numFmtId="41" fontId="7" fillId="3" borderId="13" xfId="3" applyNumberFormat="1" applyFont="1" applyFill="1" applyBorder="1" applyAlignment="1"/>
    <xf numFmtId="41" fontId="7" fillId="3" borderId="5" xfId="3" applyNumberFormat="1" applyFont="1" applyFill="1" applyBorder="1" applyAlignment="1"/>
    <xf numFmtId="41" fontId="7" fillId="3" borderId="14" xfId="3" applyNumberFormat="1" applyFont="1" applyFill="1" applyBorder="1" applyAlignment="1"/>
    <xf numFmtId="42" fontId="8" fillId="3" borderId="11" xfId="3" applyNumberFormat="1" applyFont="1" applyFill="1" applyBorder="1" applyAlignment="1">
      <alignment horizontal="center"/>
    </xf>
    <xf numFmtId="42" fontId="8" fillId="3" borderId="10" xfId="3" applyNumberFormat="1" applyFont="1" applyFill="1" applyBorder="1" applyAlignment="1">
      <alignment horizontal="center"/>
    </xf>
    <xf numFmtId="42" fontId="8" fillId="3" borderId="0" xfId="3" applyNumberFormat="1" applyFont="1" applyFill="1" applyBorder="1" applyAlignment="1">
      <alignment horizontal="center"/>
    </xf>
    <xf numFmtId="0" fontId="7" fillId="3" borderId="12" xfId="3" applyFont="1" applyFill="1" applyBorder="1" applyAlignment="1">
      <alignment horizontal="left"/>
    </xf>
    <xf numFmtId="42" fontId="21" fillId="3" borderId="0" xfId="3" applyNumberFormat="1" applyFont="1" applyFill="1" applyBorder="1" applyAlignment="1">
      <alignment horizontal="center"/>
    </xf>
    <xf numFmtId="42" fontId="21" fillId="3" borderId="10" xfId="3" applyNumberFormat="1" applyFont="1" applyFill="1" applyBorder="1" applyAlignment="1">
      <alignment horizontal="center"/>
    </xf>
    <xf numFmtId="42" fontId="21" fillId="3" borderId="11" xfId="3" applyNumberFormat="1" applyFont="1" applyFill="1" applyBorder="1" applyAlignment="1">
      <alignment horizontal="center"/>
    </xf>
    <xf numFmtId="41" fontId="21" fillId="3" borderId="0" xfId="3" applyNumberFormat="1" applyFont="1" applyFill="1" applyBorder="1" applyAlignment="1">
      <alignment horizontal="center"/>
    </xf>
    <xf numFmtId="41" fontId="21" fillId="3" borderId="0" xfId="3" applyNumberFormat="1" applyFont="1" applyFill="1" applyBorder="1" applyAlignment="1"/>
    <xf numFmtId="0" fontId="7" fillId="3" borderId="5" xfId="3" applyFont="1" applyFill="1" applyBorder="1" applyAlignment="1">
      <alignment horizontal="left"/>
    </xf>
    <xf numFmtId="41" fontId="21" fillId="3" borderId="5" xfId="3" applyNumberFormat="1" applyFont="1" applyFill="1" applyBorder="1" applyAlignment="1">
      <alignment horizontal="center"/>
    </xf>
    <xf numFmtId="42" fontId="8" fillId="3" borderId="0" xfId="3" applyNumberFormat="1" applyFont="1" applyFill="1" applyBorder="1" applyAlignment="1"/>
    <xf numFmtId="42" fontId="8" fillId="3" borderId="11" xfId="3" applyNumberFormat="1" applyFont="1" applyFill="1" applyBorder="1" applyAlignment="1"/>
    <xf numFmtId="42" fontId="21" fillId="3" borderId="0" xfId="3" applyNumberFormat="1" applyFont="1" applyFill="1" applyBorder="1" applyAlignment="1"/>
    <xf numFmtId="42" fontId="21" fillId="3" borderId="11" xfId="3" applyNumberFormat="1" applyFont="1" applyFill="1" applyBorder="1" applyAlignment="1"/>
    <xf numFmtId="41" fontId="21" fillId="3" borderId="10" xfId="3" applyNumberFormat="1" applyFont="1" applyFill="1" applyBorder="1" applyAlignment="1">
      <alignment horizontal="center"/>
    </xf>
    <xf numFmtId="41" fontId="21" fillId="3" borderId="11" xfId="3" applyNumberFormat="1" applyFont="1" applyFill="1" applyBorder="1" applyAlignment="1">
      <alignment horizontal="center"/>
    </xf>
    <xf numFmtId="41" fontId="21" fillId="3" borderId="13" xfId="3" applyNumberFormat="1" applyFont="1" applyFill="1" applyBorder="1" applyAlignment="1"/>
    <xf numFmtId="41" fontId="21" fillId="3" borderId="5" xfId="3" applyNumberFormat="1" applyFont="1" applyFill="1" applyBorder="1" applyAlignment="1"/>
    <xf numFmtId="41" fontId="21" fillId="3" borderId="14" xfId="3" applyNumberFormat="1" applyFont="1" applyFill="1" applyBorder="1" applyAlignment="1"/>
    <xf numFmtId="42" fontId="8" fillId="3" borderId="6" xfId="3" applyNumberFormat="1" applyFont="1" applyFill="1" applyBorder="1" applyAlignment="1">
      <alignment horizontal="center"/>
    </xf>
    <xf numFmtId="42" fontId="8" fillId="3" borderId="6" xfId="3" applyNumberFormat="1" applyFont="1" applyFill="1" applyBorder="1" applyAlignment="1"/>
    <xf numFmtId="42" fontId="8" fillId="3" borderId="7" xfId="3" applyNumberFormat="1" applyFont="1" applyFill="1" applyBorder="1" applyAlignment="1"/>
    <xf numFmtId="0" fontId="8" fillId="0" borderId="4" xfId="3" applyFont="1" applyBorder="1" applyAlignment="1">
      <alignment horizontal="left"/>
    </xf>
    <xf numFmtId="0" fontId="8" fillId="0" borderId="4" xfId="3" applyFont="1" applyBorder="1" applyAlignment="1">
      <alignment horizontal="right"/>
    </xf>
    <xf numFmtId="0" fontId="7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6" xfId="3" applyFont="1" applyBorder="1" applyAlignment="1"/>
    <xf numFmtId="0" fontId="7" fillId="0" borderId="0" xfId="3" applyFont="1" applyBorder="1" applyAlignment="1">
      <alignment horizontal="left"/>
    </xf>
    <xf numFmtId="42" fontId="7" fillId="0" borderId="0" xfId="3" applyNumberFormat="1" applyFont="1" applyBorder="1" applyAlignment="1"/>
    <xf numFmtId="0" fontId="7" fillId="0" borderId="8" xfId="3" applyFont="1" applyBorder="1" applyAlignment="1"/>
    <xf numFmtId="0" fontId="7" fillId="0" borderId="4" xfId="3" applyFont="1" applyBorder="1" applyAlignment="1"/>
    <xf numFmtId="0" fontId="8" fillId="0" borderId="4" xfId="3" applyFont="1" applyBorder="1" applyAlignment="1">
      <alignment horizontal="center"/>
    </xf>
    <xf numFmtId="0" fontId="33" fillId="4" borderId="1" xfId="3" applyFont="1" applyFill="1" applyBorder="1" applyAlignment="1">
      <alignment horizontal="centerContinuous"/>
    </xf>
    <xf numFmtId="0" fontId="33" fillId="4" borderId="2" xfId="3" applyFont="1" applyFill="1" applyBorder="1" applyAlignment="1">
      <alignment horizontal="centerContinuous"/>
    </xf>
    <xf numFmtId="0" fontId="33" fillId="4" borderId="3" xfId="3" applyFont="1" applyFill="1" applyBorder="1" applyAlignment="1">
      <alignment horizontal="centerContinuous"/>
    </xf>
    <xf numFmtId="0" fontId="7" fillId="3" borderId="8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4" fontId="15" fillId="3" borderId="0" xfId="2" applyNumberFormat="1" applyFont="1" applyFill="1" applyBorder="1" applyAlignment="1">
      <alignment horizontal="center"/>
    </xf>
    <xf numFmtId="43" fontId="15" fillId="0" borderId="0" xfId="3" applyNumberFormat="1" applyFont="1" applyBorder="1" applyAlignment="1"/>
    <xf numFmtId="0" fontId="7" fillId="0" borderId="12" xfId="3" applyFont="1" applyBorder="1" applyAlignment="1"/>
    <xf numFmtId="44" fontId="7" fillId="0" borderId="16" xfId="3" applyNumberFormat="1" applyFont="1" applyBorder="1" applyAlignment="1"/>
    <xf numFmtId="43" fontId="7" fillId="0" borderId="16" xfId="3" applyNumberFormat="1" applyFont="1" applyBorder="1" applyAlignment="1"/>
    <xf numFmtId="43" fontId="7" fillId="0" borderId="0" xfId="3" applyNumberFormat="1" applyFont="1" applyBorder="1" applyAlignment="1">
      <alignment horizontal="center"/>
    </xf>
    <xf numFmtId="43" fontId="7" fillId="0" borderId="0" xfId="3" applyNumberFormat="1" applyFont="1" applyBorder="1" applyAlignment="1"/>
    <xf numFmtId="43" fontId="15" fillId="0" borderId="6" xfId="3" applyNumberFormat="1" applyFont="1" applyBorder="1" applyAlignment="1"/>
    <xf numFmtId="43" fontId="7" fillId="0" borderId="6" xfId="3" applyNumberFormat="1" applyFont="1" applyBorder="1" applyAlignment="1">
      <alignment horizontal="center"/>
    </xf>
    <xf numFmtId="43" fontId="7" fillId="0" borderId="6" xfId="3" applyNumberFormat="1" applyFont="1" applyBorder="1" applyAlignment="1"/>
    <xf numFmtId="43" fontId="7" fillId="0" borderId="17" xfId="3" applyNumberFormat="1" applyFont="1" applyBorder="1" applyAlignment="1"/>
    <xf numFmtId="0" fontId="7" fillId="3" borderId="0" xfId="0" applyFont="1" applyFill="1"/>
    <xf numFmtId="0" fontId="8" fillId="0" borderId="6" xfId="3" applyFont="1" applyBorder="1" applyAlignment="1">
      <alignment horizontal="center"/>
    </xf>
    <xf numFmtId="0" fontId="7" fillId="0" borderId="9" xfId="3" applyFont="1" applyBorder="1" applyAlignment="1"/>
    <xf numFmtId="44" fontId="15" fillId="0" borderId="4" xfId="3" applyNumberFormat="1" applyFont="1" applyBorder="1" applyAlignment="1"/>
    <xf numFmtId="10" fontId="15" fillId="0" borderId="2" xfId="3" applyNumberFormat="1" applyFont="1" applyBorder="1" applyAlignment="1">
      <alignment horizontal="right"/>
    </xf>
    <xf numFmtId="0" fontId="7" fillId="0" borderId="3" xfId="3" applyFont="1" applyBorder="1" applyAlignment="1"/>
    <xf numFmtId="10" fontId="15" fillId="0" borderId="0" xfId="3" applyNumberFormat="1" applyFont="1" applyBorder="1" applyAlignment="1"/>
    <xf numFmtId="10" fontId="15" fillId="0" borderId="6" xfId="3" applyNumberFormat="1" applyFont="1" applyBorder="1" applyAlignment="1"/>
    <xf numFmtId="0" fontId="7" fillId="0" borderId="0" xfId="3" applyFont="1" applyAlignment="1">
      <alignment vertical="top"/>
    </xf>
    <xf numFmtId="0" fontId="33" fillId="4" borderId="1" xfId="0" applyFont="1" applyFill="1" applyBorder="1" applyAlignment="1">
      <alignment horizontal="centerContinuous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0" xfId="0" applyFont="1" applyFill="1" applyBorder="1" applyAlignment="1">
      <alignment horizontal="center"/>
    </xf>
    <xf numFmtId="42" fontId="15" fillId="3" borderId="0" xfId="0" applyNumberFormat="1" applyFont="1" applyFill="1" applyBorder="1"/>
    <xf numFmtId="3" fontId="15" fillId="3" borderId="11" xfId="0" applyNumberFormat="1" applyFont="1" applyFill="1" applyBorder="1" applyAlignment="1">
      <alignment horizontal="center"/>
    </xf>
    <xf numFmtId="44" fontId="7" fillId="3" borderId="16" xfId="0" applyNumberFormat="1" applyFont="1" applyFill="1" applyBorder="1"/>
    <xf numFmtId="41" fontId="15" fillId="3" borderId="0" xfId="0" applyNumberFormat="1" applyFont="1" applyFill="1" applyBorder="1"/>
    <xf numFmtId="43" fontId="7" fillId="3" borderId="16" xfId="0" applyNumberFormat="1" applyFont="1" applyFill="1" applyBorder="1"/>
    <xf numFmtId="0" fontId="7" fillId="3" borderId="6" xfId="0" applyFont="1" applyFill="1" applyBorder="1" applyAlignment="1">
      <alignment horizontal="center"/>
    </xf>
    <xf numFmtId="42" fontId="8" fillId="3" borderId="6" xfId="0" applyNumberFormat="1" applyFont="1" applyFill="1" applyBorder="1"/>
    <xf numFmtId="3" fontId="8" fillId="3" borderId="7" xfId="0" applyNumberFormat="1" applyFont="1" applyFill="1" applyBorder="1" applyAlignment="1">
      <alignment horizontal="center"/>
    </xf>
    <xf numFmtId="42" fontId="8" fillId="3" borderId="7" xfId="0" applyNumberFormat="1" applyFont="1" applyFill="1" applyBorder="1"/>
    <xf numFmtId="44" fontId="8" fillId="3" borderId="17" xfId="0" applyNumberFormat="1" applyFont="1" applyFill="1" applyBorder="1"/>
    <xf numFmtId="41" fontId="21" fillId="3" borderId="0" xfId="0" applyNumberFormat="1" applyFont="1" applyFill="1"/>
    <xf numFmtId="41" fontId="7" fillId="3" borderId="0" xfId="0" applyNumberFormat="1" applyFont="1" applyFill="1"/>
    <xf numFmtId="43" fontId="7" fillId="3" borderId="0" xfId="0" applyNumberFormat="1" applyFont="1" applyFill="1"/>
    <xf numFmtId="0" fontId="33" fillId="4" borderId="2" xfId="0" applyFont="1" applyFill="1" applyBorder="1" applyAlignment="1">
      <alignment horizontal="centerContinuous"/>
    </xf>
    <xf numFmtId="41" fontId="33" fillId="4" borderId="2" xfId="0" applyNumberFormat="1" applyFont="1" applyFill="1" applyBorder="1" applyAlignment="1">
      <alignment horizontal="centerContinuous"/>
    </xf>
    <xf numFmtId="3" fontId="33" fillId="4" borderId="2" xfId="0" applyNumberFormat="1" applyFont="1" applyFill="1" applyBorder="1" applyAlignment="1">
      <alignment horizontal="centerContinuous"/>
    </xf>
    <xf numFmtId="41" fontId="33" fillId="4" borderId="3" xfId="0" applyNumberFormat="1" applyFont="1" applyFill="1" applyBorder="1" applyAlignment="1">
      <alignment horizontal="centerContinuous"/>
    </xf>
    <xf numFmtId="0" fontId="7" fillId="3" borderId="13" xfId="0" applyFont="1" applyFill="1" applyBorder="1"/>
    <xf numFmtId="0" fontId="7" fillId="3" borderId="5" xfId="0" applyFont="1" applyFill="1" applyBorder="1"/>
    <xf numFmtId="41" fontId="15" fillId="3" borderId="14" xfId="0" applyNumberFormat="1" applyFont="1" applyFill="1" applyBorder="1"/>
    <xf numFmtId="0" fontId="8" fillId="3" borderId="10" xfId="0" applyFont="1" applyFill="1" applyBorder="1"/>
    <xf numFmtId="0" fontId="7" fillId="3" borderId="0" xfId="0" applyFont="1" applyFill="1" applyBorder="1"/>
    <xf numFmtId="41" fontId="8" fillId="3" borderId="11" xfId="0" applyNumberFormat="1" applyFont="1" applyFill="1" applyBorder="1"/>
    <xf numFmtId="43" fontId="15" fillId="3" borderId="14" xfId="0" applyNumberFormat="1" applyFont="1" applyFill="1" applyBorder="1"/>
    <xf numFmtId="0" fontId="8" fillId="3" borderId="6" xfId="0" applyFont="1" applyFill="1" applyBorder="1"/>
    <xf numFmtId="41" fontId="15" fillId="3" borderId="13" xfId="3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44" fontId="7" fillId="0" borderId="6" xfId="3" applyNumberFormat="1" applyFont="1" applyBorder="1" applyAlignment="1">
      <alignment horizontal="center"/>
    </xf>
    <xf numFmtId="44" fontId="7" fillId="0" borderId="7" xfId="3" applyNumberFormat="1" applyFont="1" applyBorder="1" applyAlignment="1">
      <alignment horizontal="center"/>
    </xf>
    <xf numFmtId="0" fontId="10" fillId="4" borderId="1" xfId="3" applyFont="1" applyFill="1" applyBorder="1" applyAlignment="1"/>
    <xf numFmtId="0" fontId="6" fillId="4" borderId="2" xfId="3" applyFont="1" applyFill="1" applyBorder="1" applyAlignment="1"/>
    <xf numFmtId="0" fontId="7" fillId="4" borderId="2" xfId="3" applyFont="1" applyFill="1" applyBorder="1" applyAlignment="1"/>
    <xf numFmtId="10" fontId="8" fillId="0" borderId="0" xfId="3" applyNumberFormat="1" applyFont="1" applyBorder="1" applyAlignment="1">
      <alignment horizontal="right"/>
    </xf>
    <xf numFmtId="10" fontId="28" fillId="0" borderId="0" xfId="3" applyNumberFormat="1" applyFont="1" applyBorder="1" applyAlignment="1">
      <alignment horizontal="right"/>
    </xf>
    <xf numFmtId="42" fontId="17" fillId="3" borderId="11" xfId="3" applyNumberFormat="1" applyFont="1" applyFill="1" applyBorder="1" applyAlignment="1">
      <alignment horizontal="center"/>
    </xf>
    <xf numFmtId="41" fontId="2" fillId="3" borderId="9" xfId="0" applyNumberFormat="1" applyFont="1" applyFill="1" applyBorder="1"/>
    <xf numFmtId="43" fontId="17" fillId="3" borderId="14" xfId="0" applyNumberFormat="1" applyFont="1" applyFill="1" applyBorder="1"/>
    <xf numFmtId="167" fontId="21" fillId="3" borderId="0" xfId="3" applyNumberFormat="1" applyFont="1" applyFill="1" applyBorder="1" applyAlignment="1">
      <alignment horizontal="center"/>
    </xf>
    <xf numFmtId="169" fontId="21" fillId="3" borderId="0" xfId="3" applyNumberFormat="1" applyFont="1" applyFill="1" applyBorder="1" applyAlignment="1">
      <alignment horizontal="center"/>
    </xf>
    <xf numFmtId="171" fontId="21" fillId="3" borderId="0" xfId="3" applyNumberFormat="1" applyFont="1" applyFill="1" applyBorder="1" applyAlignment="1">
      <alignment horizontal="center"/>
    </xf>
    <xf numFmtId="44" fontId="8" fillId="0" borderId="12" xfId="3" applyNumberFormat="1" applyFont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7" fillId="0" borderId="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10" fontId="34" fillId="3" borderId="5" xfId="0" applyNumberFormat="1" applyFont="1" applyFill="1" applyBorder="1" applyAlignment="1">
      <alignment horizontal="center"/>
    </xf>
    <xf numFmtId="177" fontId="17" fillId="3" borderId="0" xfId="1" applyNumberFormat="1" applyFont="1" applyFill="1" applyBorder="1" applyAlignment="1">
      <alignment horizontal="center"/>
    </xf>
    <xf numFmtId="44" fontId="17" fillId="5" borderId="11" xfId="0" applyNumberFormat="1" applyFont="1" applyFill="1" applyBorder="1" applyAlignment="1">
      <alignment horizontal="center"/>
    </xf>
    <xf numFmtId="10" fontId="17" fillId="0" borderId="7" xfId="0" applyNumberFormat="1" applyFont="1" applyFill="1" applyBorder="1" applyAlignment="1">
      <alignment horizontal="center"/>
    </xf>
    <xf numFmtId="10" fontId="17" fillId="0" borderId="11" xfId="0" applyNumberFormat="1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5" borderId="10" xfId="0" applyFont="1" applyFill="1" applyBorder="1"/>
    <xf numFmtId="44" fontId="15" fillId="0" borderId="9" xfId="2" applyFont="1" applyBorder="1" applyAlignment="1"/>
    <xf numFmtId="9" fontId="15" fillId="0" borderId="7" xfId="3" applyNumberFormat="1" applyFont="1" applyBorder="1" applyAlignment="1"/>
    <xf numFmtId="0" fontId="7" fillId="0" borderId="7" xfId="3" applyFont="1" applyBorder="1" applyAlignment="1"/>
    <xf numFmtId="10" fontId="15" fillId="0" borderId="9" xfId="3" applyNumberFormat="1" applyFont="1" applyBorder="1" applyAlignment="1"/>
    <xf numFmtId="10" fontId="15" fillId="0" borderId="11" xfId="3" applyNumberFormat="1" applyFont="1" applyBorder="1" applyAlignment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11" fillId="5" borderId="10" xfId="0" applyFont="1" applyFill="1" applyBorder="1"/>
    <xf numFmtId="0" fontId="2" fillId="5" borderId="8" xfId="0" applyFont="1" applyFill="1" applyBorder="1"/>
    <xf numFmtId="0" fontId="11" fillId="5" borderId="4" xfId="0" applyFont="1" applyFill="1" applyBorder="1" applyAlignment="1">
      <alignment horizontal="center"/>
    </xf>
    <xf numFmtId="0" fontId="38" fillId="3" borderId="10" xfId="0" applyFont="1" applyFill="1" applyBorder="1"/>
    <xf numFmtId="177" fontId="0" fillId="3" borderId="4" xfId="1" applyNumberFormat="1" applyFont="1" applyFill="1" applyBorder="1"/>
    <xf numFmtId="177" fontId="0" fillId="3" borderId="0" xfId="1" applyNumberFormat="1" applyFont="1" applyFill="1" applyBorder="1"/>
    <xf numFmtId="177" fontId="17" fillId="3" borderId="6" xfId="1" applyNumberFormat="1" applyFont="1" applyFill="1" applyBorder="1" applyAlignment="1">
      <alignment horizontal="center"/>
    </xf>
    <xf numFmtId="177" fontId="2" fillId="3" borderId="0" xfId="1" applyNumberFormat="1" applyFont="1" applyFill="1" applyBorder="1" applyAlignment="1">
      <alignment horizontal="center"/>
    </xf>
    <xf numFmtId="0" fontId="2" fillId="0" borderId="10" xfId="0" applyFont="1" applyFill="1" applyBorder="1"/>
    <xf numFmtId="3" fontId="0" fillId="3" borderId="0" xfId="0" applyNumberFormat="1" applyFill="1"/>
    <xf numFmtId="41" fontId="20" fillId="5" borderId="18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24" xfId="0" applyNumberFormat="1" applyFont="1" applyBorder="1"/>
    <xf numFmtId="0" fontId="2" fillId="5" borderId="13" xfId="0" applyFont="1" applyFill="1" applyBorder="1" applyAlignment="1">
      <alignment horizontal="left"/>
    </xf>
    <xf numFmtId="3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4" fontId="17" fillId="0" borderId="1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41" fontId="2" fillId="3" borderId="12" xfId="0" applyNumberFormat="1" applyFont="1" applyFill="1" applyBorder="1" applyAlignment="1">
      <alignment horizontal="right" wrapText="1"/>
    </xf>
    <xf numFmtId="41" fontId="2" fillId="3" borderId="6" xfId="0" applyNumberFormat="1" applyFont="1" applyFill="1" applyBorder="1" applyAlignment="1">
      <alignment horizontal="right" wrapText="1"/>
    </xf>
    <xf numFmtId="41" fontId="2" fillId="3" borderId="7" xfId="0" applyNumberFormat="1" applyFont="1" applyFill="1" applyBorder="1" applyAlignment="1">
      <alignment horizontal="right" wrapText="1"/>
    </xf>
    <xf numFmtId="0" fontId="2" fillId="0" borderId="8" xfId="0" applyFont="1" applyFill="1" applyBorder="1"/>
    <xf numFmtId="0" fontId="2" fillId="0" borderId="4" xfId="0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43" fontId="17" fillId="5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3" borderId="11" xfId="0" applyNumberFormat="1" applyFont="1" applyFill="1" applyBorder="1" applyAlignment="1">
      <alignment horizontal="right"/>
    </xf>
    <xf numFmtId="177" fontId="17" fillId="3" borderId="4" xfId="1" applyNumberFormat="1" applyFont="1" applyFill="1" applyBorder="1"/>
    <xf numFmtId="177" fontId="17" fillId="3" borderId="0" xfId="1" applyNumberFormat="1" applyFont="1" applyFill="1" applyBorder="1"/>
    <xf numFmtId="0" fontId="0" fillId="3" borderId="9" xfId="0" applyFill="1" applyBorder="1"/>
    <xf numFmtId="177" fontId="17" fillId="3" borderId="6" xfId="1" applyNumberFormat="1" applyFont="1" applyFill="1" applyBorder="1"/>
    <xf numFmtId="0" fontId="0" fillId="3" borderId="7" xfId="0" applyFill="1" applyBorder="1"/>
    <xf numFmtId="177" fontId="0" fillId="3" borderId="11" xfId="0" applyNumberFormat="1" applyFill="1" applyBorder="1"/>
    <xf numFmtId="0" fontId="0" fillId="3" borderId="12" xfId="0" applyFill="1" applyBorder="1"/>
    <xf numFmtId="0" fontId="0" fillId="3" borderId="6" xfId="0" applyFill="1" applyBorder="1"/>
    <xf numFmtId="0" fontId="2" fillId="5" borderId="10" xfId="3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41" fontId="21" fillId="0" borderId="0" xfId="0" applyNumberFormat="1" applyFont="1" applyFill="1"/>
    <xf numFmtId="3" fontId="21" fillId="0" borderId="0" xfId="0" applyNumberFormat="1" applyFont="1" applyFill="1" applyAlignment="1">
      <alignment horizontal="center"/>
    </xf>
    <xf numFmtId="0" fontId="7" fillId="0" borderId="8" xfId="0" applyFont="1" applyFill="1" applyBorder="1"/>
    <xf numFmtId="0" fontId="7" fillId="0" borderId="4" xfId="0" applyFont="1" applyFill="1" applyBorder="1" applyAlignment="1">
      <alignment horizontal="center"/>
    </xf>
    <xf numFmtId="41" fontId="21" fillId="0" borderId="4" xfId="0" applyNumberFormat="1" applyFont="1" applyFill="1" applyBorder="1"/>
    <xf numFmtId="3" fontId="21" fillId="0" borderId="4" xfId="0" applyNumberFormat="1" applyFont="1" applyFill="1" applyBorder="1" applyAlignment="1">
      <alignment horizontal="center"/>
    </xf>
    <xf numFmtId="41" fontId="15" fillId="0" borderId="9" xfId="0" applyNumberFormat="1" applyFont="1" applyFill="1" applyBorder="1"/>
    <xf numFmtId="0" fontId="2" fillId="5" borderId="13" xfId="3" applyFont="1" applyFill="1" applyBorder="1"/>
    <xf numFmtId="41" fontId="17" fillId="5" borderId="14" xfId="3" applyNumberFormat="1" applyFont="1" applyFill="1" applyBorder="1"/>
    <xf numFmtId="44" fontId="11" fillId="3" borderId="0" xfId="3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7" fillId="5" borderId="10" xfId="3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"/>
    </xf>
    <xf numFmtId="42" fontId="8" fillId="3" borderId="0" xfId="0" applyNumberFormat="1" applyFont="1" applyFill="1" applyBorder="1"/>
    <xf numFmtId="42" fontId="7" fillId="3" borderId="0" xfId="0" applyNumberFormat="1" applyFont="1" applyFill="1" applyBorder="1"/>
    <xf numFmtId="41" fontId="7" fillId="3" borderId="0" xfId="0" applyNumberFormat="1" applyFont="1" applyFill="1" applyBorder="1"/>
    <xf numFmtId="8" fontId="22" fillId="0" borderId="16" xfId="0" applyNumberFormat="1" applyFont="1" applyFill="1" applyBorder="1" applyAlignment="1">
      <alignment horizontal="center"/>
    </xf>
    <xf numFmtId="44" fontId="20" fillId="3" borderId="16" xfId="0" applyNumberFormat="1" applyFont="1" applyFill="1" applyBorder="1" applyAlignment="1">
      <alignment horizontal="center"/>
    </xf>
    <xf numFmtId="43" fontId="20" fillId="3" borderId="16" xfId="0" applyNumberFormat="1" applyFont="1" applyFill="1" applyBorder="1" applyAlignment="1">
      <alignment horizontal="center"/>
    </xf>
    <xf numFmtId="44" fontId="20" fillId="3" borderId="17" xfId="0" applyNumberFormat="1" applyFont="1" applyFill="1" applyBorder="1" applyAlignment="1">
      <alignment horizontal="center"/>
    </xf>
    <xf numFmtId="10" fontId="20" fillId="3" borderId="11" xfId="0" applyNumberFormat="1" applyFont="1" applyFill="1" applyBorder="1" applyAlignment="1">
      <alignment horizontal="right"/>
    </xf>
    <xf numFmtId="0" fontId="7" fillId="0" borderId="11" xfId="3" applyFont="1" applyBorder="1" applyAlignment="1"/>
    <xf numFmtId="6" fontId="15" fillId="0" borderId="9" xfId="3" applyNumberFormat="1" applyFont="1" applyBorder="1" applyAlignment="1"/>
    <xf numFmtId="6" fontId="15" fillId="0" borderId="7" xfId="3" applyNumberFormat="1" applyFont="1" applyBorder="1" applyAlignment="1"/>
    <xf numFmtId="8" fontId="15" fillId="0" borderId="3" xfId="3" applyNumberFormat="1" applyFont="1" applyBorder="1" applyAlignment="1">
      <alignment horizontal="right"/>
    </xf>
    <xf numFmtId="177" fontId="7" fillId="3" borderId="16" xfId="1" applyNumberFormat="1" applyFont="1" applyFill="1" applyBorder="1" applyAlignment="1"/>
    <xf numFmtId="41" fontId="20" fillId="3" borderId="10" xfId="0" applyNumberFormat="1" applyFont="1" applyFill="1" applyBorder="1" applyAlignment="1">
      <alignment horizontal="center"/>
    </xf>
    <xf numFmtId="41" fontId="20" fillId="3" borderId="11" xfId="0" applyNumberFormat="1" applyFont="1" applyFill="1" applyBorder="1" applyAlignment="1">
      <alignment horizontal="center"/>
    </xf>
    <xf numFmtId="41" fontId="20" fillId="3" borderId="0" xfId="0" applyNumberFormat="1" applyFont="1" applyFill="1" applyBorder="1" applyAlignment="1">
      <alignment horizontal="center"/>
    </xf>
    <xf numFmtId="0" fontId="11" fillId="3" borderId="12" xfId="3" applyFont="1" applyFill="1" applyBorder="1" applyAlignment="1">
      <alignment horizontal="centerContinuous"/>
    </xf>
    <xf numFmtId="0" fontId="12" fillId="3" borderId="6" xfId="3" applyFont="1" applyFill="1" applyBorder="1" applyAlignment="1">
      <alignment horizontal="centerContinuous"/>
    </xf>
    <xf numFmtId="0" fontId="2" fillId="0" borderId="0" xfId="0" applyFont="1" applyFill="1" applyBorder="1"/>
    <xf numFmtId="6" fontId="17" fillId="0" borderId="10" xfId="0" applyNumberFormat="1" applyFont="1" applyFill="1" applyBorder="1" applyAlignment="1">
      <alignment horizontal="center"/>
    </xf>
    <xf numFmtId="10" fontId="17" fillId="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0" fontId="17" fillId="0" borderId="11" xfId="0" applyNumberFormat="1" applyFont="1" applyFill="1" applyBorder="1" applyAlignment="1">
      <alignment horizontal="right"/>
    </xf>
    <xf numFmtId="8" fontId="11" fillId="3" borderId="19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42" fontId="7" fillId="0" borderId="0" xfId="3" applyNumberFormat="1" applyFont="1" applyAlignment="1"/>
    <xf numFmtId="0" fontId="7" fillId="3" borderId="2" xfId="3" applyFont="1" applyFill="1" applyBorder="1" applyAlignment="1"/>
    <xf numFmtId="0" fontId="7" fillId="3" borderId="2" xfId="3" applyFont="1" applyFill="1" applyBorder="1" applyAlignment="1">
      <alignment horizontal="right"/>
    </xf>
    <xf numFmtId="43" fontId="15" fillId="3" borderId="1" xfId="3" applyNumberFormat="1" applyFont="1" applyFill="1" applyBorder="1" applyAlignment="1">
      <alignment horizontal="right"/>
    </xf>
    <xf numFmtId="41" fontId="7" fillId="3" borderId="15" xfId="3" applyNumberFormat="1" applyFont="1" applyFill="1" applyBorder="1" applyAlignment="1"/>
    <xf numFmtId="177" fontId="17" fillId="0" borderId="0" xfId="1" applyNumberFormat="1" applyFont="1" applyFill="1" applyBorder="1" applyAlignment="1">
      <alignment horizontal="center"/>
    </xf>
    <xf numFmtId="0" fontId="7" fillId="3" borderId="8" xfId="3" applyFont="1" applyFill="1" applyBorder="1" applyAlignment="1"/>
    <xf numFmtId="0" fontId="2" fillId="0" borderId="13" xfId="0" applyFont="1" applyFill="1" applyBorder="1" applyAlignment="1">
      <alignment horizontal="left"/>
    </xf>
    <xf numFmtId="177" fontId="17" fillId="5" borderId="0" xfId="1" applyNumberFormat="1" applyFont="1" applyFill="1" applyBorder="1" applyAlignment="1">
      <alignment horizontal="center"/>
    </xf>
    <xf numFmtId="0" fontId="7" fillId="0" borderId="1" xfId="3" applyFont="1" applyFill="1" applyBorder="1" applyAlignment="1"/>
    <xf numFmtId="10" fontId="15" fillId="0" borderId="2" xfId="3" applyNumberFormat="1" applyFont="1" applyFill="1" applyBorder="1" applyAlignment="1">
      <alignment horizontal="right"/>
    </xf>
    <xf numFmtId="0" fontId="7" fillId="0" borderId="0" xfId="3" quotePrefix="1" applyFont="1" applyAlignment="1">
      <alignment horizontal="left"/>
    </xf>
    <xf numFmtId="44" fontId="15" fillId="0" borderId="3" xfId="3" applyNumberFormat="1" applyFont="1" applyBorder="1" applyAlignment="1"/>
    <xf numFmtId="0" fontId="37" fillId="0" borderId="0" xfId="0" applyFont="1" applyFill="1" applyBorder="1" applyAlignment="1">
      <alignment horizontal="center"/>
    </xf>
    <xf numFmtId="0" fontId="7" fillId="0" borderId="13" xfId="3" applyFont="1" applyFill="1" applyBorder="1" applyAlignment="1">
      <alignment horizontal="left"/>
    </xf>
    <xf numFmtId="0" fontId="7" fillId="0" borderId="10" xfId="3" applyFont="1" applyFill="1" applyBorder="1" applyAlignment="1"/>
    <xf numFmtId="165" fontId="7" fillId="3" borderId="19" xfId="3" applyNumberFormat="1" applyFont="1" applyFill="1" applyBorder="1" applyAlignment="1">
      <alignment horizontal="right"/>
    </xf>
    <xf numFmtId="43" fontId="7" fillId="3" borderId="16" xfId="3" applyNumberFormat="1" applyFont="1" applyFill="1" applyBorder="1" applyAlignment="1">
      <alignment horizontal="right"/>
    </xf>
    <xf numFmtId="177" fontId="7" fillId="3" borderId="16" xfId="3" applyNumberFormat="1" applyFont="1" applyFill="1" applyBorder="1" applyAlignment="1">
      <alignment horizontal="right"/>
    </xf>
    <xf numFmtId="43" fontId="7" fillId="0" borderId="16" xfId="3" applyNumberFormat="1" applyFont="1" applyFill="1" applyBorder="1" applyAlignment="1">
      <alignment horizontal="right"/>
    </xf>
    <xf numFmtId="41" fontId="7" fillId="3" borderId="16" xfId="3" applyNumberFormat="1" applyFont="1" applyFill="1" applyBorder="1" applyAlignment="1">
      <alignment horizontal="right"/>
    </xf>
    <xf numFmtId="43" fontId="15" fillId="3" borderId="17" xfId="3" applyNumberFormat="1" applyFont="1" applyFill="1" applyBorder="1" applyAlignment="1">
      <alignment horizontal="right"/>
    </xf>
    <xf numFmtId="177" fontId="7" fillId="3" borderId="19" xfId="1" applyNumberFormat="1" applyFont="1" applyFill="1" applyBorder="1" applyAlignment="1"/>
    <xf numFmtId="177" fontId="7" fillId="0" borderId="16" xfId="1" applyNumberFormat="1" applyFont="1" applyBorder="1" applyAlignment="1"/>
    <xf numFmtId="41" fontId="7" fillId="3" borderId="17" xfId="3" applyNumberFormat="1" applyFont="1" applyFill="1" applyBorder="1" applyAlignment="1"/>
    <xf numFmtId="44" fontId="15" fillId="0" borderId="4" xfId="3" applyNumberFormat="1" applyFont="1" applyFill="1" applyBorder="1" applyAlignment="1"/>
    <xf numFmtId="43" fontId="15" fillId="0" borderId="0" xfId="3" applyNumberFormat="1" applyFont="1" applyFill="1" applyBorder="1" applyAlignment="1"/>
    <xf numFmtId="10" fontId="15" fillId="0" borderId="6" xfId="4" applyNumberFormat="1" applyFont="1" applyFill="1" applyBorder="1" applyAlignment="1"/>
    <xf numFmtId="10" fontId="15" fillId="0" borderId="7" xfId="3" applyNumberFormat="1" applyFont="1" applyFill="1" applyBorder="1" applyAlignment="1"/>
    <xf numFmtId="41" fontId="7" fillId="0" borderId="10" xfId="3" applyNumberFormat="1" applyFont="1" applyFill="1" applyBorder="1" applyAlignment="1"/>
    <xf numFmtId="10" fontId="8" fillId="0" borderId="0" xfId="4" applyNumberFormat="1" applyFont="1" applyFill="1" applyBorder="1" applyAlignment="1">
      <alignment horizontal="center"/>
    </xf>
    <xf numFmtId="0" fontId="7" fillId="0" borderId="12" xfId="3" applyFont="1" applyFill="1" applyBorder="1" applyAlignment="1"/>
    <xf numFmtId="0" fontId="8" fillId="3" borderId="0" xfId="3" applyFont="1" applyFill="1" applyBorder="1" applyAlignment="1">
      <alignment horizontal="left"/>
    </xf>
    <xf numFmtId="0" fontId="39" fillId="4" borderId="1" xfId="3" applyFont="1" applyFill="1" applyBorder="1" applyAlignment="1"/>
    <xf numFmtId="0" fontId="8" fillId="4" borderId="2" xfId="3" applyFont="1" applyFill="1" applyBorder="1" applyAlignment="1"/>
    <xf numFmtId="0" fontId="8" fillId="4" borderId="3" xfId="3" applyFont="1" applyFill="1" applyBorder="1" applyAlignment="1">
      <alignment horizontal="left"/>
    </xf>
    <xf numFmtId="42" fontId="7" fillId="3" borderId="0" xfId="3" applyNumberFormat="1" applyFont="1" applyFill="1" applyBorder="1" applyAlignment="1">
      <alignment horizontal="center"/>
    </xf>
    <xf numFmtId="41" fontId="7" fillId="3" borderId="0" xfId="3" applyNumberFormat="1" applyFont="1" applyFill="1" applyBorder="1" applyAlignment="1">
      <alignment horizontal="center"/>
    </xf>
    <xf numFmtId="41" fontId="7" fillId="3" borderId="10" xfId="3" applyNumberFormat="1" applyFont="1" applyFill="1" applyBorder="1" applyAlignment="1">
      <alignment horizontal="center"/>
    </xf>
    <xf numFmtId="41" fontId="7" fillId="3" borderId="5" xfId="3" applyNumberFormat="1" applyFont="1" applyFill="1" applyBorder="1" applyAlignment="1">
      <alignment horizontal="center"/>
    </xf>
    <xf numFmtId="42" fontId="7" fillId="3" borderId="10" xfId="3" applyNumberFormat="1" applyFont="1" applyFill="1" applyBorder="1" applyAlignment="1">
      <alignment horizontal="center"/>
    </xf>
    <xf numFmtId="10" fontId="7" fillId="3" borderId="0" xfId="3" applyNumberFormat="1" applyFont="1" applyFill="1" applyBorder="1" applyAlignment="1">
      <alignment horizontal="center"/>
    </xf>
    <xf numFmtId="41" fontId="7" fillId="3" borderId="7" xfId="3" applyNumberFormat="1" applyFont="1" applyFill="1" applyBorder="1" applyAlignment="1">
      <alignment horizontal="center"/>
    </xf>
    <xf numFmtId="41" fontId="7" fillId="3" borderId="12" xfId="3" applyNumberFormat="1" applyFont="1" applyFill="1" applyBorder="1" applyAlignment="1"/>
    <xf numFmtId="41" fontId="7" fillId="3" borderId="6" xfId="3" applyNumberFormat="1" applyFont="1" applyFill="1" applyBorder="1" applyAlignment="1"/>
    <xf numFmtId="41" fontId="7" fillId="3" borderId="7" xfId="3" applyNumberFormat="1" applyFont="1" applyFill="1" applyBorder="1" applyAlignment="1"/>
    <xf numFmtId="0" fontId="8" fillId="4" borderId="1" xfId="3" applyFont="1" applyFill="1" applyBorder="1" applyAlignment="1">
      <alignment horizontal="left"/>
    </xf>
    <xf numFmtId="0" fontId="8" fillId="4" borderId="2" xfId="3" applyFont="1" applyFill="1" applyBorder="1" applyAlignment="1">
      <alignment horizontal="left"/>
    </xf>
    <xf numFmtId="167" fontId="7" fillId="3" borderId="0" xfId="3" applyNumberFormat="1" applyFont="1" applyFill="1" applyBorder="1" applyAlignment="1">
      <alignment horizontal="center"/>
    </xf>
    <xf numFmtId="3" fontId="7" fillId="3" borderId="8" xfId="3" applyNumberFormat="1" applyFont="1" applyFill="1" applyBorder="1" applyAlignment="1">
      <alignment horizontal="center"/>
    </xf>
    <xf numFmtId="3" fontId="7" fillId="3" borderId="4" xfId="3" applyNumberFormat="1" applyFont="1" applyFill="1" applyBorder="1" applyAlignment="1">
      <alignment horizontal="center"/>
    </xf>
    <xf numFmtId="3" fontId="7" fillId="3" borderId="9" xfId="3" applyNumberFormat="1" applyFont="1" applyFill="1" applyBorder="1" applyAlignment="1">
      <alignment horizontal="center"/>
    </xf>
    <xf numFmtId="1" fontId="7" fillId="3" borderId="0" xfId="3" applyNumberFormat="1" applyFont="1" applyFill="1" applyBorder="1" applyAlignment="1">
      <alignment horizontal="center"/>
    </xf>
    <xf numFmtId="1" fontId="7" fillId="3" borderId="10" xfId="3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/>
    </xf>
    <xf numFmtId="169" fontId="7" fillId="3" borderId="0" xfId="3" applyNumberFormat="1" applyFont="1" applyFill="1" applyBorder="1" applyAlignment="1">
      <alignment horizontal="center"/>
    </xf>
    <xf numFmtId="171" fontId="7" fillId="3" borderId="0" xfId="3" applyNumberFormat="1" applyFont="1" applyFill="1" applyBorder="1" applyAlignment="1">
      <alignment horizontal="center"/>
    </xf>
    <xf numFmtId="168" fontId="7" fillId="3" borderId="0" xfId="3" applyNumberFormat="1" applyFont="1" applyFill="1" applyBorder="1" applyAlignment="1">
      <alignment horizontal="center"/>
    </xf>
    <xf numFmtId="168" fontId="7" fillId="3" borderId="5" xfId="3" applyNumberFormat="1" applyFont="1" applyFill="1" applyBorder="1" applyAlignment="1">
      <alignment horizontal="center"/>
    </xf>
    <xf numFmtId="3" fontId="7" fillId="3" borderId="5" xfId="3" applyNumberFormat="1" applyFont="1" applyFill="1" applyBorder="1" applyAlignment="1">
      <alignment horizontal="center"/>
    </xf>
    <xf numFmtId="3" fontId="7" fillId="3" borderId="13" xfId="3" applyNumberFormat="1" applyFont="1" applyFill="1" applyBorder="1" applyAlignment="1">
      <alignment horizontal="center"/>
    </xf>
    <xf numFmtId="3" fontId="7" fillId="3" borderId="14" xfId="3" applyNumberFormat="1" applyFont="1" applyFill="1" applyBorder="1" applyAlignment="1">
      <alignment horizontal="center"/>
    </xf>
    <xf numFmtId="0" fontId="8" fillId="4" borderId="1" xfId="3" applyFont="1" applyFill="1" applyBorder="1" applyAlignment="1"/>
    <xf numFmtId="0" fontId="8" fillId="4" borderId="3" xfId="3" applyFont="1" applyFill="1" applyBorder="1" applyAlignment="1"/>
    <xf numFmtId="0" fontId="7" fillId="3" borderId="1" xfId="3" applyFont="1" applyFill="1" applyBorder="1" applyAlignment="1">
      <alignment wrapText="1"/>
    </xf>
    <xf numFmtId="43" fontId="7" fillId="3" borderId="17" xfId="3" applyNumberFormat="1" applyFont="1" applyFill="1" applyBorder="1" applyAlignment="1">
      <alignment horizontal="right"/>
    </xf>
    <xf numFmtId="43" fontId="7" fillId="3" borderId="1" xfId="3" applyNumberFormat="1" applyFont="1" applyFill="1" applyBorder="1" applyAlignment="1">
      <alignment horizontal="right"/>
    </xf>
    <xf numFmtId="0" fontId="8" fillId="4" borderId="1" xfId="3" applyFont="1" applyFill="1" applyBorder="1" applyAlignment="1">
      <alignment horizontal="centerContinuous"/>
    </xf>
    <xf numFmtId="0" fontId="8" fillId="4" borderId="2" xfId="3" applyFont="1" applyFill="1" applyBorder="1" applyAlignment="1">
      <alignment horizontal="centerContinuous"/>
    </xf>
    <xf numFmtId="0" fontId="8" fillId="4" borderId="3" xfId="3" applyFont="1" applyFill="1" applyBorder="1" applyAlignment="1">
      <alignment horizontal="centerContinuous"/>
    </xf>
    <xf numFmtId="44" fontId="7" fillId="0" borderId="4" xfId="3" applyNumberFormat="1" applyFont="1" applyBorder="1" applyAlignment="1"/>
    <xf numFmtId="0" fontId="7" fillId="3" borderId="15" xfId="3" applyFont="1" applyFill="1" applyBorder="1" applyAlignment="1"/>
    <xf numFmtId="10" fontId="7" fillId="0" borderId="2" xfId="3" applyNumberFormat="1" applyFont="1" applyFill="1" applyBorder="1" applyAlignment="1">
      <alignment horizontal="right"/>
    </xf>
    <xf numFmtId="8" fontId="7" fillId="0" borderId="3" xfId="3" applyNumberFormat="1" applyFont="1" applyBorder="1" applyAlignment="1">
      <alignment horizontal="right"/>
    </xf>
    <xf numFmtId="44" fontId="7" fillId="3" borderId="0" xfId="2" applyNumberFormat="1" applyFont="1" applyFill="1" applyBorder="1" applyAlignment="1">
      <alignment horizontal="center"/>
    </xf>
    <xf numFmtId="44" fontId="7" fillId="0" borderId="3" xfId="3" applyNumberFormat="1" applyFont="1" applyBorder="1" applyAlignment="1"/>
    <xf numFmtId="10" fontId="7" fillId="0" borderId="2" xfId="3" applyNumberFormat="1" applyFont="1" applyBorder="1" applyAlignment="1">
      <alignment horizontal="right"/>
    </xf>
    <xf numFmtId="44" fontId="7" fillId="0" borderId="4" xfId="3" applyNumberFormat="1" applyFont="1" applyFill="1" applyBorder="1" applyAlignment="1"/>
    <xf numFmtId="43" fontId="7" fillId="0" borderId="0" xfId="3" applyNumberFormat="1" applyFont="1" applyFill="1" applyBorder="1" applyAlignment="1"/>
    <xf numFmtId="10" fontId="7" fillId="0" borderId="6" xfId="4" applyNumberFormat="1" applyFont="1" applyFill="1" applyBorder="1" applyAlignment="1"/>
    <xf numFmtId="10" fontId="7" fillId="0" borderId="0" xfId="3" applyNumberFormat="1" applyFont="1" applyBorder="1" applyAlignment="1"/>
    <xf numFmtId="10" fontId="7" fillId="0" borderId="6" xfId="3" applyNumberFormat="1" applyFont="1" applyBorder="1" applyAlignment="1"/>
    <xf numFmtId="44" fontId="7" fillId="0" borderId="9" xfId="2" applyFont="1" applyBorder="1" applyAlignment="1"/>
    <xf numFmtId="9" fontId="7" fillId="0" borderId="7" xfId="3" applyNumberFormat="1" applyFont="1" applyBorder="1" applyAlignment="1"/>
    <xf numFmtId="6" fontId="7" fillId="0" borderId="9" xfId="3" applyNumberFormat="1" applyFont="1" applyBorder="1" applyAlignment="1"/>
    <xf numFmtId="6" fontId="7" fillId="0" borderId="7" xfId="3" applyNumberFormat="1" applyFont="1" applyBorder="1" applyAlignment="1"/>
    <xf numFmtId="10" fontId="7" fillId="0" borderId="9" xfId="3" applyNumberFormat="1" applyFont="1" applyBorder="1" applyAlignment="1"/>
    <xf numFmtId="10" fontId="7" fillId="0" borderId="11" xfId="3" applyNumberFormat="1" applyFont="1" applyBorder="1" applyAlignment="1"/>
    <xf numFmtId="10" fontId="7" fillId="0" borderId="7" xfId="3" applyNumberFormat="1" applyFont="1" applyFill="1" applyBorder="1" applyAlignment="1"/>
    <xf numFmtId="3" fontId="7" fillId="3" borderId="11" xfId="0" applyNumberFormat="1" applyFont="1" applyFill="1" applyBorder="1" applyAlignment="1">
      <alignment horizontal="center"/>
    </xf>
    <xf numFmtId="41" fontId="7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41" fontId="2" fillId="3" borderId="0" xfId="0" applyNumberFormat="1" applyFont="1" applyFill="1"/>
    <xf numFmtId="3" fontId="2" fillId="3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Continuous"/>
    </xf>
    <xf numFmtId="0" fontId="8" fillId="4" borderId="2" xfId="0" applyFont="1" applyFill="1" applyBorder="1" applyAlignment="1">
      <alignment horizontal="centerContinuous"/>
    </xf>
    <xf numFmtId="41" fontId="8" fillId="4" borderId="2" xfId="0" applyNumberFormat="1" applyFont="1" applyFill="1" applyBorder="1" applyAlignment="1">
      <alignment horizontal="centerContinuous"/>
    </xf>
    <xf numFmtId="3" fontId="8" fillId="4" borderId="2" xfId="0" applyNumberFormat="1" applyFont="1" applyFill="1" applyBorder="1" applyAlignment="1">
      <alignment horizontal="centerContinuous"/>
    </xf>
    <xf numFmtId="41" fontId="8" fillId="4" borderId="3" xfId="0" applyNumberFormat="1" applyFont="1" applyFill="1" applyBorder="1" applyAlignment="1">
      <alignment horizontal="centerContinuous"/>
    </xf>
    <xf numFmtId="41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center"/>
    </xf>
    <xf numFmtId="41" fontId="7" fillId="0" borderId="9" xfId="0" applyNumberFormat="1" applyFont="1" applyFill="1" applyBorder="1"/>
    <xf numFmtId="41" fontId="7" fillId="3" borderId="14" xfId="0" applyNumberFormat="1" applyFont="1" applyFill="1" applyBorder="1"/>
    <xf numFmtId="43" fontId="7" fillId="3" borderId="14" xfId="0" applyNumberFormat="1" applyFont="1" applyFill="1" applyBorder="1"/>
    <xf numFmtId="43" fontId="2" fillId="3" borderId="0" xfId="0" applyNumberFormat="1" applyFont="1" applyFill="1"/>
    <xf numFmtId="0" fontId="7" fillId="0" borderId="19" xfId="3" applyFont="1" applyBorder="1" applyAlignment="1"/>
    <xf numFmtId="0" fontId="7" fillId="0" borderId="16" xfId="3" applyFont="1" applyBorder="1" applyAlignment="1"/>
    <xf numFmtId="42" fontId="7" fillId="3" borderId="19" xfId="3" applyNumberFormat="1" applyFont="1" applyFill="1" applyBorder="1" applyAlignment="1"/>
    <xf numFmtId="0" fontId="7" fillId="0" borderId="17" xfId="3" applyFont="1" applyBorder="1" applyAlignment="1"/>
    <xf numFmtId="41" fontId="21" fillId="3" borderId="17" xfId="3" applyNumberFormat="1" applyFont="1" applyFill="1" applyBorder="1" applyAlignment="1"/>
    <xf numFmtId="0" fontId="7" fillId="3" borderId="7" xfId="3" applyFont="1" applyFill="1" applyBorder="1" applyAlignment="1"/>
    <xf numFmtId="0" fontId="26" fillId="3" borderId="8" xfId="3" applyFont="1" applyFill="1" applyBorder="1" applyAlignment="1"/>
    <xf numFmtId="0" fontId="7" fillId="3" borderId="9" xfId="3" applyFont="1" applyFill="1" applyBorder="1" applyAlignment="1"/>
    <xf numFmtId="3" fontId="7" fillId="3" borderId="11" xfId="3" applyNumberFormat="1" applyFont="1" applyFill="1" applyBorder="1" applyAlignment="1"/>
    <xf numFmtId="0" fontId="7" fillId="3" borderId="11" xfId="3" applyFont="1" applyFill="1" applyBorder="1" applyAlignment="1"/>
    <xf numFmtId="0" fontId="7" fillId="3" borderId="12" xfId="3" applyFont="1" applyFill="1" applyBorder="1" applyAlignment="1"/>
    <xf numFmtId="0" fontId="7" fillId="3" borderId="6" xfId="3" applyFont="1" applyFill="1" applyBorder="1" applyAlignment="1"/>
    <xf numFmtId="0" fontId="7" fillId="3" borderId="19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right"/>
    </xf>
    <xf numFmtId="44" fontId="7" fillId="3" borderId="11" xfId="3" applyNumberFormat="1" applyFont="1" applyFill="1" applyBorder="1" applyAlignment="1"/>
    <xf numFmtId="41" fontId="7" fillId="0" borderId="0" xfId="3" applyNumberFormat="1" applyFont="1" applyFill="1" applyBorder="1" applyAlignment="1"/>
    <xf numFmtId="0" fontId="8" fillId="3" borderId="25" xfId="3" applyFont="1" applyFill="1" applyBorder="1" applyAlignment="1">
      <alignment horizontal="left"/>
    </xf>
    <xf numFmtId="0" fontId="8" fillId="3" borderId="25" xfId="3" applyFont="1" applyFill="1" applyBorder="1" applyAlignment="1">
      <alignment horizontal="right"/>
    </xf>
    <xf numFmtId="42" fontId="8" fillId="3" borderId="25" xfId="3" applyNumberFormat="1" applyFont="1" applyFill="1" applyBorder="1" applyAlignment="1">
      <alignment horizontal="center"/>
    </xf>
    <xf numFmtId="42" fontId="15" fillId="0" borderId="10" xfId="3" applyNumberFormat="1" applyFont="1" applyFill="1" applyBorder="1" applyAlignment="1"/>
    <xf numFmtId="42" fontId="21" fillId="3" borderId="8" xfId="3" applyNumberFormat="1" applyFont="1" applyFill="1" applyBorder="1" applyAlignment="1"/>
    <xf numFmtId="42" fontId="7" fillId="0" borderId="10" xfId="3" applyNumberFormat="1" applyFont="1" applyFill="1" applyBorder="1" applyAlignment="1"/>
    <xf numFmtId="42" fontId="7" fillId="3" borderId="8" xfId="3" applyNumberFormat="1" applyFont="1" applyFill="1" applyBorder="1" applyAlignment="1"/>
    <xf numFmtId="42" fontId="7" fillId="3" borderId="16" xfId="3" applyNumberFormat="1" applyFont="1" applyFill="1" applyBorder="1" applyAlignmen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0" borderId="4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3" borderId="8" xfId="3" applyFont="1" applyFill="1" applyBorder="1" applyAlignment="1">
      <alignment horizontal="left" vertical="top" wrapText="1"/>
    </xf>
    <xf numFmtId="0" fontId="7" fillId="3" borderId="4" xfId="3" applyFont="1" applyFill="1" applyBorder="1" applyAlignment="1">
      <alignment horizontal="left" vertical="top" wrapText="1"/>
    </xf>
    <xf numFmtId="0" fontId="7" fillId="3" borderId="9" xfId="3" applyFont="1" applyFill="1" applyBorder="1" applyAlignment="1">
      <alignment horizontal="left" vertical="top" wrapText="1"/>
    </xf>
    <xf numFmtId="0" fontId="7" fillId="3" borderId="12" xfId="3" applyFont="1" applyFill="1" applyBorder="1" applyAlignment="1">
      <alignment horizontal="left" vertical="top" wrapText="1"/>
    </xf>
    <xf numFmtId="0" fontId="7" fillId="3" borderId="6" xfId="3" applyFont="1" applyFill="1" applyBorder="1" applyAlignment="1">
      <alignment horizontal="left" vertical="top" wrapText="1"/>
    </xf>
    <xf numFmtId="0" fontId="7" fillId="3" borderId="7" xfId="3" applyFont="1" applyFill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10" xfId="3" applyFont="1" applyBorder="1" applyAlignment="1">
      <alignment horizontal="left" vertical="top" wrapText="1"/>
    </xf>
    <xf numFmtId="0" fontId="7" fillId="0" borderId="11" xfId="3" applyFont="1" applyBorder="1" applyAlignment="1">
      <alignment horizontal="left" vertical="top" wrapText="1"/>
    </xf>
    <xf numFmtId="0" fontId="7" fillId="0" borderId="12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horizontal="left" vertical="top" wrapText="1"/>
    </xf>
    <xf numFmtId="0" fontId="7" fillId="0" borderId="9" xfId="3" applyFont="1" applyFill="1" applyBorder="1" applyAlignment="1">
      <alignment horizontal="left" vertical="top" wrapText="1"/>
    </xf>
    <xf numFmtId="0" fontId="7" fillId="0" borderId="1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7" fillId="0" borderId="11" xfId="3" applyFont="1" applyFill="1" applyBorder="1" applyAlignment="1">
      <alignment horizontal="left" vertical="top" wrapText="1"/>
    </xf>
    <xf numFmtId="0" fontId="7" fillId="0" borderId="12" xfId="3" applyFont="1" applyFill="1" applyBorder="1" applyAlignment="1">
      <alignment horizontal="left" vertical="top" wrapText="1"/>
    </xf>
    <xf numFmtId="0" fontId="7" fillId="0" borderId="6" xfId="3" applyFont="1" applyFill="1" applyBorder="1" applyAlignment="1">
      <alignment horizontal="left" vertical="top" wrapText="1"/>
    </xf>
    <xf numFmtId="0" fontId="7" fillId="0" borderId="7" xfId="3" applyFont="1" applyFill="1" applyBorder="1" applyAlignment="1">
      <alignment horizontal="left" vertical="top" wrapText="1"/>
    </xf>
    <xf numFmtId="0" fontId="7" fillId="0" borderId="8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11" xfId="3" applyFont="1" applyBorder="1" applyAlignment="1">
      <alignment horizontal="left" vertical="center" wrapText="1"/>
    </xf>
    <xf numFmtId="0" fontId="7" fillId="3" borderId="4" xfId="3" quotePrefix="1" applyFont="1" applyFill="1" applyBorder="1" applyAlignment="1">
      <alignment horizontal="left" wrapText="1"/>
    </xf>
    <xf numFmtId="0" fontId="7" fillId="3" borderId="0" xfId="3" quotePrefix="1" applyFont="1" applyFill="1" applyBorder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quotePrefix="1" applyFont="1" applyAlignment="1">
      <alignment horizontal="left" wrapText="1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</cellXfs>
  <cellStyles count="28">
    <cellStyle name="Bold" xfId="6"/>
    <cellStyle name="Column Head" xfId="7"/>
    <cellStyle name="Comma" xfId="1" builtinId="3"/>
    <cellStyle name="Comma (0)" xfId="8"/>
    <cellStyle name="Comma (1)" xfId="9"/>
    <cellStyle name="Comma (2)" xfId="10"/>
    <cellStyle name="Comma 2" xfId="11"/>
    <cellStyle name="Comma 3" xfId="12"/>
    <cellStyle name="Currency" xfId="2" builtinId="4"/>
    <cellStyle name="Currency (0)" xfId="13"/>
    <cellStyle name="Currency (1)" xfId="14"/>
    <cellStyle name="Currency (2)" xfId="15"/>
    <cellStyle name="Currency 2" xfId="16"/>
    <cellStyle name="Currency 3" xfId="17"/>
    <cellStyle name="Normal" xfId="0" builtinId="0"/>
    <cellStyle name="Normal 10" xfId="18"/>
    <cellStyle name="Normal 2" xfId="3"/>
    <cellStyle name="Normal 3" xfId="19"/>
    <cellStyle name="Normal 3 2" xfId="20"/>
    <cellStyle name="Normal 4" xfId="21"/>
    <cellStyle name="Normal 5" xfId="5"/>
    <cellStyle name="Number (0)" xfId="22"/>
    <cellStyle name="Percent" xfId="4" builtinId="5"/>
    <cellStyle name="Percent (0)" xfId="23"/>
    <cellStyle name="Percent (1)" xfId="24"/>
    <cellStyle name="Percent (2)" xfId="25"/>
    <cellStyle name="Percent 2" xfId="26"/>
    <cellStyle name="Percent 3" xfId="27"/>
  </cellStyles>
  <dxfs count="0"/>
  <tableStyles count="0" defaultTableStyle="TableStyleMedium9" defaultPivotStyle="PivotStyleLight16"/>
  <colors>
    <mruColors>
      <color rgb="FF0000FF"/>
      <color rgb="FF008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45"/>
  <sheetViews>
    <sheetView showGridLines="0" view="pageBreakPreview" topLeftCell="D65" zoomScale="85" zoomScaleNormal="100" zoomScaleSheetLayoutView="85" workbookViewId="0">
      <selection activeCell="H82" sqref="H82"/>
    </sheetView>
  </sheetViews>
  <sheetFormatPr defaultColWidth="9.140625" defaultRowHeight="15"/>
  <cols>
    <col min="1" max="1" width="19.28515625" style="21" customWidth="1"/>
    <col min="2" max="2" width="30.85546875" style="21" customWidth="1"/>
    <col min="3" max="3" width="21.85546875" style="21" customWidth="1"/>
    <col min="4" max="4" width="20.5703125" style="12" customWidth="1"/>
    <col min="5" max="5" width="20.5703125" style="21" customWidth="1"/>
    <col min="6" max="6" width="22.7109375" style="21" customWidth="1"/>
    <col min="7" max="11" width="20.5703125" style="21" customWidth="1"/>
    <col min="12" max="12" width="21" style="21" customWidth="1"/>
    <col min="13" max="13" width="21.5703125" style="21" customWidth="1"/>
    <col min="14" max="14" width="27" style="21" customWidth="1"/>
    <col min="15" max="15" width="9.140625" style="21"/>
    <col min="16" max="16" width="19.28515625" style="21" customWidth="1"/>
    <col min="17" max="16384" width="9.140625" style="21"/>
  </cols>
  <sheetData>
    <row r="1" spans="1:14" ht="18.75" thickBot="1">
      <c r="A1" s="977" t="s">
        <v>64</v>
      </c>
      <c r="B1" s="978"/>
      <c r="C1" s="978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979"/>
    </row>
    <row r="2" spans="1:14" ht="16.5" thickBot="1">
      <c r="A2" s="753"/>
      <c r="B2" s="754"/>
      <c r="C2" s="754"/>
      <c r="D2" s="755" t="s">
        <v>58</v>
      </c>
      <c r="E2" s="381" t="s">
        <v>37</v>
      </c>
      <c r="F2" s="386"/>
      <c r="G2" s="383"/>
      <c r="H2" s="381" t="s">
        <v>80</v>
      </c>
      <c r="I2" s="384"/>
      <c r="J2" s="383"/>
      <c r="K2" s="385" t="s">
        <v>81</v>
      </c>
      <c r="L2" s="385"/>
      <c r="M2" s="386"/>
      <c r="N2" s="383"/>
    </row>
    <row r="3" spans="1:14" ht="16.5" thickBot="1">
      <c r="A3" s="4"/>
      <c r="B3" s="5"/>
      <c r="C3" s="5"/>
      <c r="D3" s="6" t="s">
        <v>311</v>
      </c>
      <c r="E3" s="34">
        <v>2019</v>
      </c>
      <c r="F3" s="6">
        <f>E3+1</f>
        <v>2020</v>
      </c>
      <c r="G3" s="7">
        <f t="shared" ref="G3:L3" si="0">F3+1</f>
        <v>2021</v>
      </c>
      <c r="H3" s="34">
        <f t="shared" si="0"/>
        <v>2022</v>
      </c>
      <c r="I3" s="6">
        <f t="shared" si="0"/>
        <v>2023</v>
      </c>
      <c r="J3" s="7">
        <f t="shared" si="0"/>
        <v>2024</v>
      </c>
      <c r="K3" s="6">
        <f t="shared" si="0"/>
        <v>2025</v>
      </c>
      <c r="L3" s="6">
        <f t="shared" si="0"/>
        <v>2026</v>
      </c>
      <c r="M3" s="6">
        <f>L3+1</f>
        <v>2027</v>
      </c>
      <c r="N3" s="7">
        <f>M3+1</f>
        <v>2028</v>
      </c>
    </row>
    <row r="4" spans="1:14" ht="16.5" thickBot="1">
      <c r="A4" s="28" t="s">
        <v>0</v>
      </c>
      <c r="B4" s="29"/>
      <c r="C4" s="29"/>
      <c r="D4" s="17"/>
      <c r="E4" s="474"/>
      <c r="F4" s="18"/>
      <c r="G4" s="24"/>
      <c r="H4" s="474"/>
      <c r="I4" s="18"/>
      <c r="J4" s="24"/>
      <c r="K4" s="18"/>
      <c r="L4" s="18"/>
      <c r="M4" s="18"/>
      <c r="N4" s="24"/>
    </row>
    <row r="5" spans="1:14">
      <c r="A5" s="665" t="s">
        <v>65</v>
      </c>
      <c r="B5" s="694"/>
      <c r="C5" s="694"/>
      <c r="D5" s="980">
        <f>'2.Market-Rate Rental Housing'!C60</f>
        <v>0</v>
      </c>
      <c r="E5" s="670">
        <f>'2.Market-Rate Rental Housing'!D60</f>
        <v>0</v>
      </c>
      <c r="F5" s="709">
        <f>'2.Market-Rate Rental Housing'!E60</f>
        <v>0</v>
      </c>
      <c r="G5" s="710">
        <f>'2.Market-Rate Rental Housing'!F60</f>
        <v>1117211.5590526799</v>
      </c>
      <c r="H5" s="670">
        <f>'2.Market-Rate Rental Housing'!G60</f>
        <v>2876819.7645606506</v>
      </c>
      <c r="I5" s="709">
        <f>'2.Market-Rate Rental Housing'!H60</f>
        <v>6631754.5143991001</v>
      </c>
      <c r="J5" s="710">
        <f>'2.Market-Rate Rental Housing'!I60</f>
        <v>12295272.869695932</v>
      </c>
      <c r="K5" s="709">
        <f>'2.Market-Rate Rental Housing'!J60</f>
        <v>21795478.507358856</v>
      </c>
      <c r="L5" s="709">
        <f>'2.Market-Rate Rental Housing'!K60</f>
        <v>31638771.671712492</v>
      </c>
      <c r="M5" s="709">
        <f>'2.Market-Rate Rental Housing'!L60</f>
        <v>36431151.306703568</v>
      </c>
      <c r="N5" s="710">
        <f>'2.Market-Rate Rental Housing'!M60</f>
        <v>37524085.845904663</v>
      </c>
    </row>
    <row r="6" spans="1:14">
      <c r="A6" s="665" t="s">
        <v>66</v>
      </c>
      <c r="B6" s="694"/>
      <c r="C6" s="694"/>
      <c r="D6" s="981">
        <f>'3.Market-Rate For-Sale Housing'!C37</f>
        <v>0</v>
      </c>
      <c r="E6" s="982">
        <f>'3.Market-Rate For-Sale Housing'!D37</f>
        <v>0</v>
      </c>
      <c r="F6" s="981">
        <f>'3.Market-Rate For-Sale Housing'!E37</f>
        <v>35637763.7628823</v>
      </c>
      <c r="G6" s="711">
        <f>'3.Market-Rate For-Sale Housing'!F37</f>
        <v>36706896.675768763</v>
      </c>
      <c r="H6" s="982">
        <f>'3.Market-Rate For-Sale Housing'!G37</f>
        <v>37808103.576041833</v>
      </c>
      <c r="I6" s="981">
        <f>'3.Market-Rate For-Sale Housing'!H37</f>
        <v>26604016.519938067</v>
      </c>
      <c r="J6" s="711">
        <f>'3.Market-Rate For-Sale Housing'!I37</f>
        <v>27402137.015536215</v>
      </c>
      <c r="K6" s="981">
        <f>'3.Market-Rate For-Sale Housing'!J37</f>
        <v>28496333.741586272</v>
      </c>
      <c r="L6" s="981">
        <f>'3.Market-Rate For-Sale Housing'!K37</f>
        <v>0</v>
      </c>
      <c r="M6" s="981">
        <f>'3.Market-Rate For-Sale Housing'!L37</f>
        <v>61519367.49321945</v>
      </c>
      <c r="N6" s="711">
        <f>'3.Market-Rate For-Sale Housing'!M37</f>
        <v>63364948.518016025</v>
      </c>
    </row>
    <row r="7" spans="1:14">
      <c r="A7" s="665" t="s">
        <v>67</v>
      </c>
      <c r="B7" s="694"/>
      <c r="C7" s="694"/>
      <c r="D7" s="981">
        <f>'4.Affordable Rental Housing'!C40</f>
        <v>0</v>
      </c>
      <c r="E7" s="671">
        <f>'4.Affordable Rental Housing'!D40</f>
        <v>0</v>
      </c>
      <c r="F7" s="712">
        <f>'4.Affordable Rental Housing'!E40</f>
        <v>56270.135999999999</v>
      </c>
      <c r="G7" s="713">
        <f>'4.Affordable Rental Housing'!F40</f>
        <v>127508.12817600001</v>
      </c>
      <c r="H7" s="671">
        <f>'4.Affordable Rental Housing'!G40</f>
        <v>310424.33386848005</v>
      </c>
      <c r="I7" s="712">
        <f>'4.Affordable Rental Housing'!H40</f>
        <v>1217460.3586372659</v>
      </c>
      <c r="J7" s="713">
        <f>'4.Affordable Rental Housing'!I40</f>
        <v>2482635.3252696078</v>
      </c>
      <c r="K7" s="712">
        <f>'4.Affordable Rental Housing'!J40</f>
        <v>3196392.9812846202</v>
      </c>
      <c r="L7" s="712">
        <f>'4.Affordable Rental Housing'!K40</f>
        <v>3292284.7707231585</v>
      </c>
      <c r="M7" s="712">
        <f>'4.Affordable Rental Housing'!L40</f>
        <v>3391053.313844854</v>
      </c>
      <c r="N7" s="713">
        <f>'4.Affordable Rental Housing'!M40</f>
        <v>3492784.9132601987</v>
      </c>
    </row>
    <row r="8" spans="1:14">
      <c r="A8" s="665" t="s">
        <v>413</v>
      </c>
      <c r="B8" s="694"/>
      <c r="C8" s="694"/>
      <c r="D8" s="981">
        <f>'5.Affordable For-Sale Housing '!C37</f>
        <v>0</v>
      </c>
      <c r="E8" s="671">
        <f>'5.Affordable For-Sale Housing '!D37</f>
        <v>0</v>
      </c>
      <c r="F8" s="712">
        <f>'5.Affordable For-Sale Housing '!E37</f>
        <v>959965.97400000016</v>
      </c>
      <c r="G8" s="713">
        <f>'5.Affordable For-Sale Housing '!F37</f>
        <v>741573.71491500002</v>
      </c>
      <c r="H8" s="671">
        <f>'5.Affordable For-Sale Housing '!G37</f>
        <v>763820.92636245</v>
      </c>
      <c r="I8" s="712">
        <f>'5.Affordable For-Sale Housing '!H37</f>
        <v>1311225.9235888724</v>
      </c>
      <c r="J8" s="713">
        <f>'5.Affordable For-Sale Housing '!I37</f>
        <v>1350562.7012965386</v>
      </c>
      <c r="K8" s="712">
        <f>'5.Affordable For-Sale Housing '!J37</f>
        <v>1391079.5823354346</v>
      </c>
      <c r="L8" s="712">
        <f>'5.Affordable For-Sale Housing '!K37</f>
        <v>0</v>
      </c>
      <c r="M8" s="712">
        <f>'5.Affordable For-Sale Housing '!L37</f>
        <v>7378981.6444983128</v>
      </c>
      <c r="N8" s="713">
        <f>'5.Affordable For-Sale Housing '!M37</f>
        <v>7600351.093833264</v>
      </c>
    </row>
    <row r="9" spans="1:14">
      <c r="A9" s="665" t="s">
        <v>68</v>
      </c>
      <c r="B9" s="694"/>
      <c r="C9" s="694"/>
      <c r="D9" s="981">
        <f>'6.Office'!C29</f>
        <v>0</v>
      </c>
      <c r="E9" s="671">
        <f>'6.Office'!D29</f>
        <v>0</v>
      </c>
      <c r="F9" s="712">
        <f>'6.Office'!E29</f>
        <v>0</v>
      </c>
      <c r="G9" s="713">
        <f>'6.Office'!F29</f>
        <v>7431789.7782395594</v>
      </c>
      <c r="H9" s="671">
        <f>'6.Office'!G29</f>
        <v>7654743.4715867471</v>
      </c>
      <c r="I9" s="712">
        <f>'6.Office'!H29</f>
        <v>14340165.313043656</v>
      </c>
      <c r="J9" s="713">
        <f>'6.Office'!I29</f>
        <v>14770370.272434967</v>
      </c>
      <c r="K9" s="712">
        <f>'6.Office'!J29</f>
        <v>15213481.380608018</v>
      </c>
      <c r="L9" s="712">
        <f>'6.Office'!K29</f>
        <v>15669885.822026255</v>
      </c>
      <c r="M9" s="712">
        <f>'6.Office'!L29</f>
        <v>16139982.396687042</v>
      </c>
      <c r="N9" s="713">
        <f>'6.Office'!M29</f>
        <v>16624181.868587654</v>
      </c>
    </row>
    <row r="10" spans="1:14">
      <c r="A10" s="665" t="s">
        <v>420</v>
      </c>
      <c r="B10" s="694"/>
      <c r="C10" s="694"/>
      <c r="D10" s="981">
        <f>'7.Industrial &amp; School'!C38</f>
        <v>0</v>
      </c>
      <c r="E10" s="671">
        <f>'7.Industrial &amp; School'!D38</f>
        <v>0</v>
      </c>
      <c r="F10" s="712">
        <f>'7.Industrial &amp; School'!E38</f>
        <v>0</v>
      </c>
      <c r="G10" s="713">
        <f>'7.Industrial &amp; School'!F38</f>
        <v>251138.4652564837</v>
      </c>
      <c r="H10" s="671">
        <f>'7.Industrial &amp; School'!G38</f>
        <v>258672.61921417818</v>
      </c>
      <c r="I10" s="712">
        <f>'7.Industrial &amp; School'!H38</f>
        <v>266432.79779060348</v>
      </c>
      <c r="J10" s="713">
        <f>'7.Industrial &amp; School'!I38</f>
        <v>-26096.399329435022</v>
      </c>
      <c r="K10" s="712">
        <f>'7.Industrial &amp; School'!J38</f>
        <v>293106.54842577316</v>
      </c>
      <c r="L10" s="712">
        <f>'7.Industrial &amp; School'!K38</f>
        <v>301899.74487854622</v>
      </c>
      <c r="M10" s="712">
        <f>'7.Industrial &amp; School'!L38</f>
        <v>310956.73722490249</v>
      </c>
      <c r="N10" s="713">
        <f>'7.Industrial &amp; School'!M38</f>
        <v>1992420.0905656382</v>
      </c>
    </row>
    <row r="11" spans="1:14">
      <c r="A11" s="665" t="s">
        <v>69</v>
      </c>
      <c r="B11" s="694"/>
      <c r="C11" s="694"/>
      <c r="D11" s="981">
        <f>'8.Market-Rate Retail'!C83</f>
        <v>0</v>
      </c>
      <c r="E11" s="671">
        <f>'8.Market-Rate Retail'!D83</f>
        <v>0</v>
      </c>
      <c r="F11" s="712">
        <f>'8.Market-Rate Retail'!E83</f>
        <v>1055752.9906049999</v>
      </c>
      <c r="G11" s="713">
        <f>'8.Market-Rate Retail'!F83</f>
        <v>2913721.507208745</v>
      </c>
      <c r="H11" s="671">
        <f>'8.Market-Rate Retail'!G83</f>
        <v>3789197.2009022138</v>
      </c>
      <c r="I11" s="712">
        <f>'8.Market-Rate Retail'!H83</f>
        <v>5804591.8748377627</v>
      </c>
      <c r="J11" s="713">
        <f>'8.Market-Rate Retail'!I83</f>
        <v>8155020.1575667392</v>
      </c>
      <c r="K11" s="712">
        <f>'8.Market-Rate Retail'!J83</f>
        <v>9513914.3088204768</v>
      </c>
      <c r="L11" s="712">
        <f>'8.Market-Rate Retail'!K83</f>
        <v>10077318.351949211</v>
      </c>
      <c r="M11" s="712">
        <f>'8.Market-Rate Retail'!L83</f>
        <v>10945995.279221881</v>
      </c>
      <c r="N11" s="713">
        <f>'8.Market-Rate Retail'!M83</f>
        <v>12082977.080114767</v>
      </c>
    </row>
    <row r="12" spans="1:14">
      <c r="A12" s="665" t="s">
        <v>49</v>
      </c>
      <c r="B12" s="694"/>
      <c r="C12" s="694"/>
      <c r="D12" s="981">
        <f>'9.Hotel'!C15</f>
        <v>0</v>
      </c>
      <c r="E12" s="671">
        <f>'9.Hotel'!D15</f>
        <v>0</v>
      </c>
      <c r="F12" s="712">
        <f>'9.Hotel'!E15</f>
        <v>2805306.8586429758</v>
      </c>
      <c r="G12" s="713">
        <f>'9.Hotel'!F15</f>
        <v>7259783.4868106917</v>
      </c>
      <c r="H12" s="671">
        <f>'9.Hotel'!G15</f>
        <v>7477576.9914150108</v>
      </c>
      <c r="I12" s="712">
        <f>'9.Hotel'!H15</f>
        <v>7701904.3011574596</v>
      </c>
      <c r="J12" s="713">
        <f>'9.Hotel'!I15</f>
        <v>7932961.4301921837</v>
      </c>
      <c r="K12" s="712">
        <f>'9.Hotel'!J15</f>
        <v>8170950.2730979528</v>
      </c>
      <c r="L12" s="712">
        <f>'9.Hotel'!K15</f>
        <v>8416078.7812908888</v>
      </c>
      <c r="M12" s="712">
        <f>'9.Hotel'!L15</f>
        <v>8668561.1447296161</v>
      </c>
      <c r="N12" s="713">
        <f>'9.Hotel'!M15</f>
        <v>8928617.9790715035</v>
      </c>
    </row>
    <row r="13" spans="1:14">
      <c r="A13" s="665" t="s">
        <v>392</v>
      </c>
      <c r="B13" s="694"/>
      <c r="C13" s="694"/>
      <c r="D13" s="981">
        <f>'10.Structured Parking'!C88</f>
        <v>0</v>
      </c>
      <c r="E13" s="671">
        <f>'10.Structured Parking'!D88</f>
        <v>0</v>
      </c>
      <c r="F13" s="712">
        <f>'10.Structured Parking'!E88</f>
        <v>12149606.655703124</v>
      </c>
      <c r="G13" s="713">
        <f>'10.Structured Parking'!F88</f>
        <v>12514094.855374219</v>
      </c>
      <c r="H13" s="671">
        <f>'10.Structured Parking'!G88</f>
        <v>12889517.701035442</v>
      </c>
      <c r="I13" s="712">
        <f>'10.Structured Parking'!H88</f>
        <v>35501522.124671057</v>
      </c>
      <c r="J13" s="713">
        <f>'10.Structured Parking'!I88</f>
        <v>39652583.366464317</v>
      </c>
      <c r="K13" s="712">
        <f>'10.Structured Parking'!J88</f>
        <v>40842160.867458232</v>
      </c>
      <c r="L13" s="712">
        <f>'10.Structured Parking'!K88</f>
        <v>42067425.693481989</v>
      </c>
      <c r="M13" s="712">
        <f>'10.Structured Parking'!L88</f>
        <v>43329448.464286439</v>
      </c>
      <c r="N13" s="713">
        <f>'10.Structured Parking'!M88</f>
        <v>57719828.786277607</v>
      </c>
    </row>
    <row r="14" spans="1:14" hidden="1">
      <c r="A14" s="672" t="s">
        <v>51</v>
      </c>
      <c r="B14" s="732"/>
      <c r="C14" s="732"/>
      <c r="D14" s="983">
        <f>'11.Surface Parking'!C65</f>
        <v>0</v>
      </c>
      <c r="E14" s="720">
        <f>'11.Surface Parking'!D65</f>
        <v>0</v>
      </c>
      <c r="F14" s="721">
        <f>'11.Surface Parking'!E65</f>
        <v>0</v>
      </c>
      <c r="G14" s="722">
        <f>'11.Surface Parking'!F65</f>
        <v>0</v>
      </c>
      <c r="H14" s="720">
        <f>'11.Surface Parking'!G65</f>
        <v>0</v>
      </c>
      <c r="I14" s="721">
        <f>'11.Surface Parking'!H65</f>
        <v>0</v>
      </c>
      <c r="J14" s="722">
        <f>'11.Surface Parking'!I65</f>
        <v>0</v>
      </c>
      <c r="K14" s="721">
        <f>'11.Surface Parking'!J65</f>
        <v>0</v>
      </c>
      <c r="L14" s="721">
        <f>'11.Surface Parking'!K65</f>
        <v>0</v>
      </c>
      <c r="M14" s="721">
        <f>'11.Surface Parking'!L65</f>
        <v>0</v>
      </c>
      <c r="N14" s="722">
        <f>'11.Surface Parking'!M65</f>
        <v>0</v>
      </c>
    </row>
    <row r="15" spans="1:14" ht="16.5" thickBot="1">
      <c r="A15" s="658" t="s">
        <v>1</v>
      </c>
      <c r="B15" s="659"/>
      <c r="C15" s="659"/>
      <c r="D15" s="743">
        <f t="shared" ref="D15:M15" si="1">SUM(D5:D14)</f>
        <v>0</v>
      </c>
      <c r="E15" s="660">
        <f t="shared" si="1"/>
        <v>0</v>
      </c>
      <c r="F15" s="744">
        <f t="shared" si="1"/>
        <v>52664666.377833396</v>
      </c>
      <c r="G15" s="745">
        <f t="shared" si="1"/>
        <v>69063718.170802146</v>
      </c>
      <c r="H15" s="660">
        <f t="shared" si="1"/>
        <v>73828876.584987</v>
      </c>
      <c r="I15" s="744">
        <f t="shared" si="1"/>
        <v>99379073.728063852</v>
      </c>
      <c r="J15" s="745">
        <f t="shared" si="1"/>
        <v>114015446.73912707</v>
      </c>
      <c r="K15" s="744">
        <f t="shared" si="1"/>
        <v>128912898.19097564</v>
      </c>
      <c r="L15" s="744">
        <f t="shared" si="1"/>
        <v>111463664.83606255</v>
      </c>
      <c r="M15" s="744">
        <f t="shared" si="1"/>
        <v>188115497.7804161</v>
      </c>
      <c r="N15" s="745">
        <f>SUM(N5:N14)</f>
        <v>209330196.17563128</v>
      </c>
    </row>
    <row r="16" spans="1:14" ht="16.5" thickBot="1">
      <c r="A16" s="28" t="s">
        <v>2</v>
      </c>
      <c r="B16" s="29"/>
      <c r="C16" s="29"/>
      <c r="D16" s="17"/>
      <c r="E16" s="474"/>
      <c r="F16" s="18"/>
      <c r="G16" s="24"/>
      <c r="H16" s="474"/>
      <c r="I16" s="18"/>
      <c r="J16" s="24"/>
      <c r="K16" s="18"/>
      <c r="L16" s="18"/>
      <c r="M16" s="18"/>
      <c r="N16" s="24"/>
    </row>
    <row r="17" spans="1:16">
      <c r="A17" s="665" t="s">
        <v>65</v>
      </c>
      <c r="B17" s="694"/>
      <c r="C17" s="694"/>
      <c r="D17" s="980">
        <f>'2.Market-Rate Rental Housing'!C66</f>
        <v>0</v>
      </c>
      <c r="E17" s="984">
        <f>'2.Market-Rate Rental Housing'!D66</f>
        <v>0</v>
      </c>
      <c r="F17" s="980">
        <f>'2.Market-Rate Rental Housing'!E66</f>
        <v>23922923.799577203</v>
      </c>
      <c r="G17" s="708">
        <f>'2.Market-Rate Rental Housing'!F66</f>
        <v>12320305.75678226</v>
      </c>
      <c r="H17" s="984">
        <f>'2.Market-Rate Rental Housing'!G66</f>
        <v>91738224.304575965</v>
      </c>
      <c r="I17" s="980">
        <f>'2.Market-Rate Rental Housing'!H66</f>
        <v>22589487.543005664</v>
      </c>
      <c r="J17" s="708">
        <f>'2.Market-Rate Rental Housing'!I66</f>
        <v>11633586.084647918</v>
      </c>
      <c r="K17" s="980">
        <f>'2.Market-Rate Rental Housing'!J66</f>
        <v>117395720.83954324</v>
      </c>
      <c r="L17" s="980">
        <f>'2.Market-Rate Rental Housing'!K66</f>
        <v>60458796.232364766</v>
      </c>
      <c r="M17" s="980">
        <f>'2.Market-Rate Rental Housing'!L66</f>
        <v>4558343.6145984745</v>
      </c>
      <c r="N17" s="708">
        <f>'2.Market-Rate Rental Housing'!M66</f>
        <v>0</v>
      </c>
    </row>
    <row r="18" spans="1:16">
      <c r="A18" s="665" t="s">
        <v>66</v>
      </c>
      <c r="B18" s="694"/>
      <c r="C18" s="694"/>
      <c r="D18" s="981">
        <f>'3.Market-Rate For-Sale Housing'!C43</f>
        <v>0</v>
      </c>
      <c r="E18" s="671">
        <f>'3.Market-Rate For-Sale Housing'!D43</f>
        <v>59859269.293312006</v>
      </c>
      <c r="F18" s="712">
        <f>'3.Market-Rate For-Sale Housing'!E43</f>
        <v>0</v>
      </c>
      <c r="G18" s="713">
        <f>'3.Market-Rate For-Sale Housing'!F43</f>
        <v>0</v>
      </c>
      <c r="H18" s="671">
        <f>'3.Market-Rate For-Sale Housing'!G43</f>
        <v>998665.81940036558</v>
      </c>
      <c r="I18" s="712">
        <f>'3.Market-Rate For-Sale Housing'!H43</f>
        <v>30268457.205089871</v>
      </c>
      <c r="J18" s="713">
        <f>'3.Market-Rate For-Sale Housing'!I43</f>
        <v>15323384.318670824</v>
      </c>
      <c r="K18" s="712">
        <f>'3.Market-Rate For-Sale Housing'!J43</f>
        <v>0</v>
      </c>
      <c r="L18" s="712">
        <f>'3.Market-Rate For-Sale Housing'!K43</f>
        <v>60962550.104730189</v>
      </c>
      <c r="M18" s="712">
        <f>'3.Market-Rate For-Sale Housing'!L43</f>
        <v>8137768.8883802239</v>
      </c>
      <c r="N18" s="713">
        <f>'3.Market-Rate For-Sale Housing'!M43</f>
        <v>0</v>
      </c>
    </row>
    <row r="19" spans="1:16">
      <c r="A19" s="665" t="s">
        <v>67</v>
      </c>
      <c r="B19" s="694"/>
      <c r="C19" s="694"/>
      <c r="D19" s="981">
        <f>'4.Affordable Rental Housing'!C46</f>
        <v>0</v>
      </c>
      <c r="E19" s="671">
        <f>'4.Affordable Rental Housing'!D46</f>
        <v>0</v>
      </c>
      <c r="F19" s="712">
        <f>'4.Affordable Rental Housing'!E46</f>
        <v>2552758.798</v>
      </c>
      <c r="G19" s="713">
        <f>'4.Affordable Rental Housing'!F46</f>
        <v>1314670.7809700002</v>
      </c>
      <c r="H19" s="671">
        <f>'4.Affordable Rental Housing'!G46</f>
        <v>5416443.6175964</v>
      </c>
      <c r="I19" s="712">
        <f>'4.Affordable Rental Housing'!H46</f>
        <v>4184202.6945932186</v>
      </c>
      <c r="J19" s="713">
        <f>'4.Affordable Rental Housing'!I46</f>
        <v>0</v>
      </c>
      <c r="K19" s="712">
        <f>'4.Affordable Rental Housing'!J46</f>
        <v>35512165.109551571</v>
      </c>
      <c r="L19" s="712">
        <f>'4.Affordable Rental Housing'!K46</f>
        <v>18288765.031419057</v>
      </c>
      <c r="M19" s="712">
        <f>'4.Affordable Rental Housing'!L46</f>
        <v>4558343.6145984745</v>
      </c>
      <c r="N19" s="713">
        <f>'4.Affordable Rental Housing'!M46</f>
        <v>0</v>
      </c>
    </row>
    <row r="20" spans="1:16">
      <c r="A20" s="665" t="s">
        <v>413</v>
      </c>
      <c r="B20" s="694"/>
      <c r="C20" s="694"/>
      <c r="D20" s="981">
        <f>'5.Affordable For-Sale Housing '!C43</f>
        <v>0</v>
      </c>
      <c r="E20" s="671">
        <f>'5.Affordable For-Sale Housing '!D43</f>
        <v>2478406.6</v>
      </c>
      <c r="F20" s="712">
        <f>'5.Affordable For-Sale Housing '!E43</f>
        <v>0</v>
      </c>
      <c r="G20" s="713">
        <f>'5.Affordable For-Sale Housing '!F43</f>
        <v>0</v>
      </c>
      <c r="H20" s="671">
        <f>'5.Affordable For-Sale Housing '!G43</f>
        <v>0</v>
      </c>
      <c r="I20" s="712">
        <f>'5.Affordable For-Sale Housing '!H43</f>
        <v>2789468.4630621457</v>
      </c>
      <c r="J20" s="713">
        <f>'5.Affordable For-Sale Housing '!I43</f>
        <v>1436576.2584770054</v>
      </c>
      <c r="K20" s="712">
        <f>'5.Affordable For-Sale Housing '!J43</f>
        <v>0</v>
      </c>
      <c r="L20" s="712">
        <f>'5.Affordable For-Sale Housing '!K43</f>
        <v>0</v>
      </c>
      <c r="M20" s="712">
        <f>'5.Affordable For-Sale Housing '!L43</f>
        <v>15697856.651968025</v>
      </c>
      <c r="N20" s="713">
        <f>'5.Affordable For-Sale Housing '!M43</f>
        <v>0</v>
      </c>
    </row>
    <row r="21" spans="1:16">
      <c r="A21" s="665" t="s">
        <v>68</v>
      </c>
      <c r="B21" s="694"/>
      <c r="C21" s="694"/>
      <c r="D21" s="981">
        <f>'6.Office'!C35</f>
        <v>0</v>
      </c>
      <c r="E21" s="671">
        <f>'6.Office'!D35</f>
        <v>62882222.578783982</v>
      </c>
      <c r="F21" s="712">
        <f>'6.Office'!E35</f>
        <v>35968026.475011051</v>
      </c>
      <c r="G21" s="713">
        <f>'6.Office'!F35</f>
        <v>0</v>
      </c>
      <c r="H21" s="671">
        <f>'6.Office'!G35</f>
        <v>0</v>
      </c>
      <c r="I21" s="712">
        <f>'6.Office'!H35</f>
        <v>90132265.430389971</v>
      </c>
      <c r="J21" s="713">
        <f>'6.Office'!I35</f>
        <v>0</v>
      </c>
      <c r="K21" s="712">
        <f>'6.Office'!J35</f>
        <v>0</v>
      </c>
      <c r="L21" s="712">
        <f>'6.Office'!K35</f>
        <v>0</v>
      </c>
      <c r="M21" s="712">
        <f>'6.Office'!L35</f>
        <v>0</v>
      </c>
      <c r="N21" s="713">
        <f>'6.Office'!M35</f>
        <v>0</v>
      </c>
    </row>
    <row r="22" spans="1:16">
      <c r="A22" s="665" t="s">
        <v>440</v>
      </c>
      <c r="B22" s="694"/>
      <c r="C22" s="694"/>
      <c r="D22" s="981">
        <f>'7.Industrial &amp; School'!C44</f>
        <v>0</v>
      </c>
      <c r="E22" s="671">
        <f>'7.Industrial &amp; School'!D44</f>
        <v>0</v>
      </c>
      <c r="F22" s="712">
        <f>'7.Industrial &amp; School'!E44</f>
        <v>6053839.8458615346</v>
      </c>
      <c r="G22" s="713">
        <f>'7.Industrial &amp; School'!F44</f>
        <v>0</v>
      </c>
      <c r="H22" s="671">
        <f>'7.Industrial &amp; School'!G44</f>
        <v>0</v>
      </c>
      <c r="I22" s="712">
        <f>'7.Industrial &amp; School'!H44</f>
        <v>29984785.931905054</v>
      </c>
      <c r="J22" s="713">
        <f>'7.Industrial &amp; School'!I44</f>
        <v>2853692.5298438813</v>
      </c>
      <c r="K22" s="712">
        <f>'7.Industrial &amp; School'!J44</f>
        <v>0</v>
      </c>
      <c r="L22" s="712">
        <f>'7.Industrial &amp; School'!K44</f>
        <v>0</v>
      </c>
      <c r="M22" s="712">
        <f>'7.Industrial &amp; School'!L44</f>
        <v>3716546.6114365761</v>
      </c>
      <c r="N22" s="713">
        <f>'7.Industrial &amp; School'!M44</f>
        <v>0</v>
      </c>
    </row>
    <row r="23" spans="1:16">
      <c r="A23" s="665" t="s">
        <v>69</v>
      </c>
      <c r="B23" s="694"/>
      <c r="C23" s="694"/>
      <c r="D23" s="981">
        <f>'8.Market-Rate Retail'!C91</f>
        <v>0</v>
      </c>
      <c r="E23" s="671">
        <f>'8.Market-Rate Retail'!D91</f>
        <v>0</v>
      </c>
      <c r="F23" s="712">
        <f>'8.Market-Rate Retail'!E91</f>
        <v>16021146.380614201</v>
      </c>
      <c r="G23" s="713">
        <f>'8.Market-Rate Retail'!F91</f>
        <v>15205968.880747743</v>
      </c>
      <c r="H23" s="671">
        <f>'8.Market-Rate Retail'!G91</f>
        <v>7831073.9735850897</v>
      </c>
      <c r="I23" s="712">
        <f>'8.Market-Rate Retail'!H91</f>
        <v>36373652.972059868</v>
      </c>
      <c r="J23" s="713">
        <f>'8.Market-Rate Retail'!I91</f>
        <v>17588121.283287507</v>
      </c>
      <c r="K23" s="712">
        <f>'8.Market-Rate Retail'!J91</f>
        <v>5982753.5800528098</v>
      </c>
      <c r="L23" s="712">
        <f>'8.Market-Rate Retail'!K91</f>
        <v>0</v>
      </c>
      <c r="M23" s="712">
        <f>'8.Market-Rate Retail'!L91</f>
        <v>10832562.172034679</v>
      </c>
      <c r="N23" s="713">
        <f>'8.Market-Rate Retail'!M91</f>
        <v>8307309.470818527</v>
      </c>
    </row>
    <row r="24" spans="1:16">
      <c r="A24" s="665" t="s">
        <v>49</v>
      </c>
      <c r="B24" s="694"/>
      <c r="C24" s="694"/>
      <c r="D24" s="981">
        <f>'9.Hotel'!C21</f>
        <v>0</v>
      </c>
      <c r="E24" s="671">
        <f>'9.Hotel'!D21</f>
        <v>59088373.124794312</v>
      </c>
      <c r="F24" s="712">
        <f>'9.Hotel'!E21</f>
        <v>30430512.159269076</v>
      </c>
      <c r="G24" s="713">
        <f>'9.Hotel'!F21</f>
        <v>0</v>
      </c>
      <c r="H24" s="671">
        <f>'9.Hotel'!G21</f>
        <v>0</v>
      </c>
      <c r="I24" s="712">
        <f>'9.Hotel'!H21</f>
        <v>0</v>
      </c>
      <c r="J24" s="713">
        <f>'9.Hotel'!I21</f>
        <v>0</v>
      </c>
      <c r="K24" s="712">
        <f>'9.Hotel'!J21</f>
        <v>0</v>
      </c>
      <c r="L24" s="712">
        <f>'9.Hotel'!K21</f>
        <v>0</v>
      </c>
      <c r="M24" s="712">
        <f>'9.Hotel'!L21</f>
        <v>0</v>
      </c>
      <c r="N24" s="713">
        <f>'9.Hotel'!M21</f>
        <v>0</v>
      </c>
    </row>
    <row r="25" spans="1:16">
      <c r="A25" s="665" t="s">
        <v>50</v>
      </c>
      <c r="B25" s="694"/>
      <c r="C25" s="694"/>
      <c r="D25" s="981">
        <f>'10.Structured Parking'!C94</f>
        <v>0</v>
      </c>
      <c r="E25" s="671">
        <f>'10.Structured Parking'!D94</f>
        <v>8330067.6609300002</v>
      </c>
      <c r="F25" s="712">
        <f>'10.Structured Parking'!E94</f>
        <v>7067906.9015083499</v>
      </c>
      <c r="G25" s="713">
        <f>'10.Structured Parking'!F94</f>
        <v>0</v>
      </c>
      <c r="H25" s="671">
        <f>'10.Structured Parking'!G94</f>
        <v>27790986.985038288</v>
      </c>
      <c r="I25" s="712">
        <f>'10.Structured Parking'!H94</f>
        <v>9386735.8547486719</v>
      </c>
      <c r="J25" s="713">
        <f>'10.Structured Parking'!I94</f>
        <v>0</v>
      </c>
      <c r="K25" s="712">
        <f>'10.Structured Parking'!J94</f>
        <v>0</v>
      </c>
      <c r="L25" s="712">
        <f>'10.Structured Parking'!K94</f>
        <v>10594576.889220912</v>
      </c>
      <c r="M25" s="712">
        <f>'10.Structured Parking'!L94</f>
        <v>5456207.09794877</v>
      </c>
      <c r="N25" s="713">
        <f>'10.Structured Parking'!M94</f>
        <v>0</v>
      </c>
    </row>
    <row r="26" spans="1:16" hidden="1">
      <c r="A26" s="665" t="s">
        <v>51</v>
      </c>
      <c r="B26" s="694"/>
      <c r="C26" s="694"/>
      <c r="D26" s="981">
        <f>'11.Surface Parking'!C71</f>
        <v>0</v>
      </c>
      <c r="E26" s="671">
        <f>'11.Surface Parking'!D71</f>
        <v>0</v>
      </c>
      <c r="F26" s="712">
        <f>'11.Surface Parking'!E71</f>
        <v>0</v>
      </c>
      <c r="G26" s="713">
        <f>'11.Surface Parking'!F71</f>
        <v>0</v>
      </c>
      <c r="H26" s="671">
        <f>'11.Surface Parking'!G71</f>
        <v>0</v>
      </c>
      <c r="I26" s="712">
        <f>'11.Surface Parking'!H71</f>
        <v>0</v>
      </c>
      <c r="J26" s="713">
        <f>'11.Surface Parking'!I71</f>
        <v>0</v>
      </c>
      <c r="K26" s="712">
        <f>'11.Surface Parking'!J71</f>
        <v>0</v>
      </c>
      <c r="L26" s="712">
        <f>'11.Surface Parking'!K71</f>
        <v>0</v>
      </c>
      <c r="M26" s="712">
        <f>'11.Surface Parking'!L71</f>
        <v>0</v>
      </c>
      <c r="N26" s="713">
        <f>'11.Surface Parking'!M71</f>
        <v>0</v>
      </c>
    </row>
    <row r="27" spans="1:16">
      <c r="A27" s="665" t="s">
        <v>70</v>
      </c>
      <c r="B27" s="694"/>
      <c r="C27" s="694"/>
      <c r="D27" s="981">
        <f>'Land Acquisition'!J5</f>
        <v>112875000</v>
      </c>
      <c r="E27" s="671">
        <f>'Land Acquisition'!J6</f>
        <v>51473913.050964192</v>
      </c>
      <c r="F27" s="712">
        <v>0</v>
      </c>
      <c r="G27" s="713">
        <f t="shared" ref="G27:N29" si="2">F27</f>
        <v>0</v>
      </c>
      <c r="H27" s="671">
        <f t="shared" si="2"/>
        <v>0</v>
      </c>
      <c r="I27" s="712">
        <f t="shared" si="2"/>
        <v>0</v>
      </c>
      <c r="J27" s="713">
        <f t="shared" si="2"/>
        <v>0</v>
      </c>
      <c r="K27" s="712">
        <f t="shared" si="2"/>
        <v>0</v>
      </c>
      <c r="L27" s="712">
        <f t="shared" si="2"/>
        <v>0</v>
      </c>
      <c r="M27" s="712">
        <f t="shared" si="2"/>
        <v>0</v>
      </c>
      <c r="N27" s="713">
        <f t="shared" si="2"/>
        <v>0</v>
      </c>
    </row>
    <row r="28" spans="1:16">
      <c r="A28" s="665" t="s">
        <v>9</v>
      </c>
      <c r="B28" s="694"/>
      <c r="C28" s="694"/>
      <c r="D28" s="981">
        <f>'1.Infrastructure Costs'!D18</f>
        <v>0</v>
      </c>
      <c r="E28" s="671">
        <f>'1.Infrastructure Costs'!E18</f>
        <v>6705334.333333333</v>
      </c>
      <c r="F28" s="712">
        <f>'1.Infrastructure Costs'!F18</f>
        <v>7930563.4516666662</v>
      </c>
      <c r="G28" s="713">
        <f>'1.Infrastructure Costs'!G18</f>
        <v>2102297.4753</v>
      </c>
      <c r="H28" s="671">
        <f>'1.Infrastructure Costs'!H18</f>
        <v>5039344.104436785</v>
      </c>
      <c r="I28" s="712">
        <f>'1.Infrastructure Costs'!I18</f>
        <v>0</v>
      </c>
      <c r="J28" s="713">
        <f>'1.Infrastructure Costs'!J18</f>
        <v>0</v>
      </c>
      <c r="K28" s="712">
        <f>'1.Infrastructure Costs'!K18</f>
        <v>0</v>
      </c>
      <c r="L28" s="712">
        <f>'1.Infrastructure Costs'!L18</f>
        <v>0</v>
      </c>
      <c r="M28" s="712">
        <f>'1.Infrastructure Costs'!M18</f>
        <v>795911.64213583909</v>
      </c>
      <c r="N28" s="713">
        <f>'1.Infrastructure Costs'!N18</f>
        <v>0</v>
      </c>
    </row>
    <row r="29" spans="1:16">
      <c r="A29" s="672" t="s">
        <v>451</v>
      </c>
      <c r="B29" s="732"/>
      <c r="C29" s="732"/>
      <c r="D29" s="983">
        <f>'Land Acquisition'!F16</f>
        <v>1688983.75</v>
      </c>
      <c r="E29" s="720">
        <v>0</v>
      </c>
      <c r="F29" s="721">
        <f>E29</f>
        <v>0</v>
      </c>
      <c r="G29" s="722">
        <f t="shared" si="2"/>
        <v>0</v>
      </c>
      <c r="H29" s="720">
        <f t="shared" si="2"/>
        <v>0</v>
      </c>
      <c r="I29" s="721">
        <f t="shared" si="2"/>
        <v>0</v>
      </c>
      <c r="J29" s="722">
        <f t="shared" si="2"/>
        <v>0</v>
      </c>
      <c r="K29" s="721">
        <f t="shared" si="2"/>
        <v>0</v>
      </c>
      <c r="L29" s="721">
        <f t="shared" si="2"/>
        <v>0</v>
      </c>
      <c r="M29" s="721">
        <f t="shared" si="2"/>
        <v>0</v>
      </c>
      <c r="N29" s="722">
        <f t="shared" si="2"/>
        <v>0</v>
      </c>
    </row>
    <row r="30" spans="1:16">
      <c r="A30" s="665" t="s">
        <v>423</v>
      </c>
      <c r="B30" s="694"/>
      <c r="C30" s="694"/>
      <c r="D30" s="981">
        <f>F83</f>
        <v>6570000</v>
      </c>
      <c r="E30" s="671"/>
      <c r="F30" s="712"/>
      <c r="G30" s="713"/>
      <c r="H30" s="671"/>
      <c r="I30" s="712"/>
      <c r="J30" s="713"/>
      <c r="K30" s="712"/>
      <c r="L30" s="712"/>
      <c r="M30" s="712"/>
      <c r="N30" s="713"/>
    </row>
    <row r="31" spans="1:16" ht="16.5" thickBot="1">
      <c r="A31" s="658" t="s">
        <v>3</v>
      </c>
      <c r="B31" s="659"/>
      <c r="C31" s="649"/>
      <c r="D31" s="725">
        <f>SUM(D17:D30)</f>
        <v>121133983.75</v>
      </c>
      <c r="E31" s="660">
        <f t="shared" ref="E31:N31" si="3">SUM(E17:E29)</f>
        <v>250817586.64211783</v>
      </c>
      <c r="F31" s="744">
        <f t="shared" si="3"/>
        <v>129947677.81150809</v>
      </c>
      <c r="G31" s="745">
        <f t="shared" si="3"/>
        <v>30943242.893800002</v>
      </c>
      <c r="H31" s="660">
        <f t="shared" si="3"/>
        <v>138814738.8046329</v>
      </c>
      <c r="I31" s="744">
        <f t="shared" si="3"/>
        <v>225709056.09485447</v>
      </c>
      <c r="J31" s="745">
        <f t="shared" si="3"/>
        <v>48835360.474927135</v>
      </c>
      <c r="K31" s="734">
        <f t="shared" si="3"/>
        <v>158890639.52914762</v>
      </c>
      <c r="L31" s="734">
        <f t="shared" si="3"/>
        <v>150304688.25773495</v>
      </c>
      <c r="M31" s="734">
        <f t="shared" si="3"/>
        <v>53753540.293101057</v>
      </c>
      <c r="N31" s="735">
        <f t="shared" si="3"/>
        <v>8307309.470818527</v>
      </c>
    </row>
    <row r="32" spans="1:16" ht="16.5" thickBot="1">
      <c r="A32" s="28" t="s">
        <v>4</v>
      </c>
      <c r="B32" s="29"/>
      <c r="C32" s="29"/>
      <c r="D32" s="577"/>
      <c r="E32" s="474"/>
      <c r="F32" s="18"/>
      <c r="G32" s="24"/>
      <c r="H32" s="474"/>
      <c r="I32" s="18"/>
      <c r="J32" s="24"/>
      <c r="K32" s="474"/>
      <c r="L32" s="18"/>
      <c r="M32" s="18"/>
      <c r="N32" s="24"/>
      <c r="P32" s="550"/>
    </row>
    <row r="33" spans="1:14">
      <c r="A33" s="706" t="s">
        <v>5</v>
      </c>
      <c r="B33" s="707"/>
      <c r="C33" s="650"/>
      <c r="D33" s="708">
        <f>D15</f>
        <v>0</v>
      </c>
      <c r="E33" s="670">
        <f t="shared" ref="E33:N33" si="4">E15</f>
        <v>0</v>
      </c>
      <c r="F33" s="709">
        <f t="shared" si="4"/>
        <v>52664666.377833396</v>
      </c>
      <c r="G33" s="710">
        <f t="shared" si="4"/>
        <v>69063718.170802146</v>
      </c>
      <c r="H33" s="670">
        <f t="shared" si="4"/>
        <v>73828876.584987</v>
      </c>
      <c r="I33" s="709">
        <f t="shared" si="4"/>
        <v>99379073.728063852</v>
      </c>
      <c r="J33" s="710">
        <f t="shared" si="4"/>
        <v>114015446.73912707</v>
      </c>
      <c r="K33" s="670">
        <f t="shared" si="4"/>
        <v>128912898.19097564</v>
      </c>
      <c r="L33" s="709">
        <f t="shared" si="4"/>
        <v>111463664.83606255</v>
      </c>
      <c r="M33" s="709">
        <f t="shared" si="4"/>
        <v>188115497.7804161</v>
      </c>
      <c r="N33" s="710">
        <f t="shared" si="4"/>
        <v>209330196.17563128</v>
      </c>
    </row>
    <row r="34" spans="1:14" ht="15.75">
      <c r="A34" s="665" t="s">
        <v>59</v>
      </c>
      <c r="B34" s="675" t="s">
        <v>274</v>
      </c>
      <c r="C34" s="974">
        <f>N33/N34</f>
        <v>0.11553444590315964</v>
      </c>
      <c r="D34" s="711"/>
      <c r="E34" s="973">
        <f>D115*1.03</f>
        <v>14600250</v>
      </c>
      <c r="F34" s="712"/>
      <c r="G34" s="713"/>
      <c r="H34" s="671"/>
      <c r="I34" s="712"/>
      <c r="J34" s="713"/>
      <c r="K34" s="671"/>
      <c r="L34" s="714"/>
      <c r="M34" s="715"/>
      <c r="N34" s="713">
        <f>SUM('2.Market-Rate Rental Housing'!M69+'4.Affordable Rental Housing'!M49+'6.Office'!M38+'7.Industrial &amp; School'!M47+'8.Market-Rate Retail'!M94+'9.Hotel'!M24+'10.Structured Parking'!M97+'11.Surface Parking'!M74)</f>
        <v>1811842299.8374939</v>
      </c>
    </row>
    <row r="35" spans="1:14">
      <c r="A35" s="665" t="s">
        <v>29</v>
      </c>
      <c r="B35" s="650"/>
      <c r="C35" s="985">
        <v>0.03</v>
      </c>
      <c r="D35" s="711"/>
      <c r="E35" s="671">
        <f>-E34*C35</f>
        <v>-438007.5</v>
      </c>
      <c r="F35" s="712"/>
      <c r="G35" s="713"/>
      <c r="H35" s="671"/>
      <c r="I35" s="712"/>
      <c r="J35" s="713"/>
      <c r="K35" s="671"/>
      <c r="L35" s="712"/>
      <c r="M35" s="712"/>
      <c r="N35" s="713">
        <f>N34*-C35</f>
        <v>-54355268.995124817</v>
      </c>
    </row>
    <row r="36" spans="1:14">
      <c r="A36" s="672" t="s">
        <v>238</v>
      </c>
      <c r="B36" s="657"/>
      <c r="C36" s="657"/>
      <c r="D36" s="719">
        <f>-D31</f>
        <v>-121133983.75</v>
      </c>
      <c r="E36" s="720">
        <f t="shared" ref="E36:N36" si="5">-E31</f>
        <v>-250817586.64211783</v>
      </c>
      <c r="F36" s="721">
        <f t="shared" si="5"/>
        <v>-129947677.81150809</v>
      </c>
      <c r="G36" s="722">
        <f t="shared" si="5"/>
        <v>-30943242.893800002</v>
      </c>
      <c r="H36" s="720">
        <f t="shared" si="5"/>
        <v>-138814738.8046329</v>
      </c>
      <c r="I36" s="721">
        <f t="shared" si="5"/>
        <v>-225709056.09485447</v>
      </c>
      <c r="J36" s="722">
        <f t="shared" si="5"/>
        <v>-48835360.474927135</v>
      </c>
      <c r="K36" s="720">
        <f t="shared" si="5"/>
        <v>-158890639.52914762</v>
      </c>
      <c r="L36" s="721">
        <f t="shared" si="5"/>
        <v>-150304688.25773495</v>
      </c>
      <c r="M36" s="721">
        <f t="shared" si="5"/>
        <v>-53753540.293101057</v>
      </c>
      <c r="N36" s="722">
        <f t="shared" si="5"/>
        <v>-8307309.470818527</v>
      </c>
    </row>
    <row r="37" spans="1:14" ht="15.75">
      <c r="A37" s="674" t="s">
        <v>6</v>
      </c>
      <c r="B37" s="675"/>
      <c r="C37" s="675"/>
      <c r="D37" s="723">
        <f>SUM(D33:D36)</f>
        <v>-121133983.75</v>
      </c>
      <c r="E37" s="724">
        <f t="shared" ref="E37:N37" si="6">SUM(E33:E36)</f>
        <v>-236655344.14211783</v>
      </c>
      <c r="F37" s="725">
        <f t="shared" si="6"/>
        <v>-77283011.433674693</v>
      </c>
      <c r="G37" s="723">
        <f t="shared" si="6"/>
        <v>38120475.277002141</v>
      </c>
      <c r="H37" s="724">
        <f t="shared" si="6"/>
        <v>-64985862.219645903</v>
      </c>
      <c r="I37" s="725">
        <f t="shared" si="6"/>
        <v>-126329982.36679062</v>
      </c>
      <c r="J37" s="723">
        <f t="shared" si="6"/>
        <v>65180086.264199935</v>
      </c>
      <c r="K37" s="724">
        <f t="shared" si="6"/>
        <v>-29977741.338171989</v>
      </c>
      <c r="L37" s="725">
        <f t="shared" si="6"/>
        <v>-38841023.421672404</v>
      </c>
      <c r="M37" s="725">
        <f t="shared" si="6"/>
        <v>134361957.48731506</v>
      </c>
      <c r="N37" s="723">
        <f t="shared" si="6"/>
        <v>1958509917.5471818</v>
      </c>
    </row>
    <row r="38" spans="1:14" ht="16.5" thickBot="1">
      <c r="A38" s="726" t="s">
        <v>309</v>
      </c>
      <c r="B38" s="690"/>
      <c r="C38" s="690"/>
      <c r="D38" s="986">
        <f>-Financing!B19</f>
        <v>0</v>
      </c>
      <c r="E38" s="987">
        <f>-Financing!C19</f>
        <v>-1393279.9700863839</v>
      </c>
      <c r="F38" s="988">
        <f>-Financing!D19</f>
        <v>-9190140.6387768686</v>
      </c>
      <c r="G38" s="989">
        <f>-Financing!E19</f>
        <v>-11046735.212404868</v>
      </c>
      <c r="H38" s="987">
        <f>-Financing!F19</f>
        <v>-19375619.540682841</v>
      </c>
      <c r="I38" s="988">
        <f>-Financing!G19</f>
        <v>-32918162.906374112</v>
      </c>
      <c r="J38" s="989">
        <f>-Financing!H19</f>
        <v>-35848284.534869738</v>
      </c>
      <c r="K38" s="987">
        <f>-Financing!I19</f>
        <v>-45381722.906618595</v>
      </c>
      <c r="L38" s="988">
        <f>-Financing!J19</f>
        <v>-54400004.202082701</v>
      </c>
      <c r="M38" s="988">
        <f>-Financing!K19</f>
        <v>-57625216.619668759</v>
      </c>
      <c r="N38" s="989">
        <f>-Financing!L19</f>
        <v>-58123655.187917873</v>
      </c>
    </row>
    <row r="39" spans="1:14" ht="16.5" thickBot="1">
      <c r="A39" s="976" t="s">
        <v>449</v>
      </c>
      <c r="B39" s="675"/>
      <c r="C39" s="675"/>
      <c r="D39" s="981">
        <f>Financing!B34</f>
        <v>-169433983.75</v>
      </c>
      <c r="E39" s="712">
        <f>Financing!C34</f>
        <v>-229478571.27743119</v>
      </c>
      <c r="F39" s="712">
        <f>Financing!D34</f>
        <v>59775775.739056528</v>
      </c>
      <c r="G39" s="712">
        <f>Financing!E34</f>
        <v>58016982.958397277</v>
      </c>
      <c r="H39" s="712">
        <f>Financing!F34</f>
        <v>54453257.044304162</v>
      </c>
      <c r="I39" s="712">
        <f>Financing!G34</f>
        <v>66460910.82168974</v>
      </c>
      <c r="J39" s="712">
        <f>Financing!H34</f>
        <v>78167162.204257339</v>
      </c>
      <c r="K39" s="712">
        <f>Financing!I34</f>
        <v>83531175.284357041</v>
      </c>
      <c r="L39" s="712">
        <f>Financing!J34</f>
        <v>57063660.63397985</v>
      </c>
      <c r="M39" s="712">
        <f>Financing!K34</f>
        <v>130490281.16074735</v>
      </c>
      <c r="N39" s="712">
        <f>Financing!L34</f>
        <v>939965985.36478448</v>
      </c>
    </row>
    <row r="40" spans="1:14" ht="15.75">
      <c r="A40" s="746"/>
      <c r="B40" s="747"/>
      <c r="C40" s="747"/>
      <c r="D40" s="748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25" t="s">
        <v>239</v>
      </c>
      <c r="B41" s="25"/>
      <c r="C41" s="553">
        <f>D37+NPV(0.09,E37:N37)</f>
        <v>390128651.71798694</v>
      </c>
      <c r="D41" s="9"/>
      <c r="E41" s="11"/>
      <c r="F41" s="11"/>
      <c r="G41" s="11"/>
      <c r="H41" s="10"/>
      <c r="I41" s="11"/>
      <c r="J41" s="11"/>
      <c r="K41" s="11"/>
      <c r="L41" s="11"/>
      <c r="M41" s="11"/>
      <c r="N41" s="11"/>
    </row>
    <row r="42" spans="1:14" ht="16.5" thickBot="1">
      <c r="A42" s="749" t="s">
        <v>71</v>
      </c>
      <c r="B42" s="25"/>
      <c r="C42" s="823">
        <f>M76/N34</f>
        <v>0.48996680654510616</v>
      </c>
      <c r="D42" s="9"/>
      <c r="E42" s="11"/>
      <c r="F42" s="11"/>
      <c r="G42" s="11"/>
      <c r="H42" s="26"/>
      <c r="I42" s="11"/>
      <c r="J42" s="11"/>
      <c r="K42" s="11"/>
      <c r="L42" s="11"/>
      <c r="M42" s="11"/>
      <c r="N42" s="11"/>
    </row>
    <row r="43" spans="1:14" ht="15.75">
      <c r="A43" s="25" t="s">
        <v>72</v>
      </c>
      <c r="B43" s="25"/>
      <c r="C43" s="823">
        <f>IRR(D37:N37,0)</f>
        <v>0.16878724410916091</v>
      </c>
      <c r="D43" s="9"/>
      <c r="E43" s="11"/>
      <c r="F43" s="11"/>
      <c r="G43" s="31" t="s">
        <v>73</v>
      </c>
      <c r="H43" s="32"/>
      <c r="I43" s="32"/>
      <c r="J43" s="551">
        <f>D27</f>
        <v>112875000</v>
      </c>
      <c r="K43" s="11"/>
      <c r="L43" s="11"/>
      <c r="M43" s="11"/>
      <c r="N43" s="11"/>
    </row>
    <row r="44" spans="1:14" ht="16.5" thickBot="1">
      <c r="A44" s="25" t="s">
        <v>273</v>
      </c>
      <c r="B44" s="25"/>
      <c r="C44" s="823">
        <f>Financing!$B$36</f>
        <v>0.20367542197373001</v>
      </c>
      <c r="D44" s="751" t="s">
        <v>272</v>
      </c>
      <c r="E44" s="11"/>
      <c r="F44" s="11"/>
      <c r="G44" s="496" t="s">
        <v>74</v>
      </c>
      <c r="H44" s="20"/>
      <c r="I44" s="20"/>
      <c r="J44" s="552">
        <f>N34</f>
        <v>1811842299.8374939</v>
      </c>
      <c r="K44" s="11"/>
      <c r="L44" s="11"/>
      <c r="M44" s="11"/>
      <c r="N44" s="11"/>
    </row>
    <row r="45" spans="1:14" s="10" customFormat="1" ht="16.5" thickBot="1">
      <c r="A45" s="750"/>
      <c r="B45" s="30"/>
      <c r="C45" s="30"/>
      <c r="D45" s="19"/>
      <c r="E45" s="20"/>
      <c r="F45" s="20"/>
      <c r="G45" s="555"/>
      <c r="H45" s="20"/>
      <c r="I45" s="20"/>
      <c r="J45" s="20"/>
      <c r="K45" s="20"/>
      <c r="L45" s="20"/>
      <c r="M45" s="20"/>
      <c r="N45" s="20"/>
    </row>
    <row r="46" spans="1:14" ht="16.5" thickBot="1">
      <c r="A46" s="990" t="s">
        <v>75</v>
      </c>
      <c r="B46" s="991"/>
      <c r="C46" s="991"/>
      <c r="D46" s="991"/>
      <c r="E46" s="991"/>
      <c r="F46" s="991"/>
      <c r="G46" s="991"/>
      <c r="H46" s="991"/>
      <c r="I46" s="991"/>
      <c r="J46" s="991"/>
      <c r="K46" s="991"/>
      <c r="L46" s="991"/>
      <c r="M46" s="991"/>
      <c r="N46" s="979"/>
    </row>
    <row r="47" spans="1:14" ht="16.5" thickBot="1">
      <c r="A47" s="33"/>
      <c r="B47" s="16"/>
      <c r="C47" s="16"/>
      <c r="D47" s="8" t="s">
        <v>58</v>
      </c>
      <c r="E47" s="381" t="s">
        <v>37</v>
      </c>
      <c r="F47" s="386"/>
      <c r="G47" s="383"/>
      <c r="H47" s="381" t="s">
        <v>80</v>
      </c>
      <c r="I47" s="384"/>
      <c r="J47" s="383"/>
      <c r="K47" s="385" t="s">
        <v>81</v>
      </c>
      <c r="L47" s="385"/>
      <c r="M47" s="386"/>
      <c r="N47" s="383"/>
    </row>
    <row r="48" spans="1:14" s="12" customFormat="1" ht="16.5" thickBot="1">
      <c r="A48" s="4"/>
      <c r="B48" s="5"/>
      <c r="C48" s="6" t="s">
        <v>30</v>
      </c>
      <c r="D48" s="6" t="s">
        <v>311</v>
      </c>
      <c r="E48" s="34">
        <v>2019</v>
      </c>
      <c r="F48" s="6">
        <f t="shared" ref="F48:N48" si="7">E48+1</f>
        <v>2020</v>
      </c>
      <c r="G48" s="7">
        <f t="shared" si="7"/>
        <v>2021</v>
      </c>
      <c r="H48" s="34">
        <f t="shared" si="7"/>
        <v>2022</v>
      </c>
      <c r="I48" s="6">
        <f t="shared" si="7"/>
        <v>2023</v>
      </c>
      <c r="J48" s="7">
        <f t="shared" si="7"/>
        <v>2024</v>
      </c>
      <c r="K48" s="6">
        <f t="shared" si="7"/>
        <v>2025</v>
      </c>
      <c r="L48" s="6">
        <f t="shared" si="7"/>
        <v>2026</v>
      </c>
      <c r="M48" s="6">
        <f t="shared" si="7"/>
        <v>2027</v>
      </c>
      <c r="N48" s="7">
        <f t="shared" si="7"/>
        <v>2028</v>
      </c>
    </row>
    <row r="49" spans="1:14" ht="16.5" thickBot="1">
      <c r="A49" s="23" t="s">
        <v>409</v>
      </c>
      <c r="B49" s="23"/>
      <c r="C49" s="23"/>
      <c r="D49" s="35"/>
      <c r="E49" s="474"/>
      <c r="F49" s="18"/>
      <c r="G49" s="24"/>
      <c r="H49" s="474"/>
      <c r="I49" s="18"/>
      <c r="J49" s="24"/>
      <c r="K49" s="18"/>
      <c r="L49" s="18"/>
      <c r="M49" s="18"/>
      <c r="N49" s="24"/>
    </row>
    <row r="50" spans="1:14">
      <c r="A50" s="665" t="s">
        <v>65</v>
      </c>
      <c r="B50" s="694"/>
      <c r="C50" s="992">
        <f>SUM('2.Market-Rate Rental Housing'!C78:C82)</f>
        <v>1210.3436999999999</v>
      </c>
      <c r="D50" s="703">
        <f>SUM('2.Market-Rate Rental Housing'!C9,'2.Market-Rate Rental Housing'!C19,'2.Market-Rate Rental Housing'!C29,'2.Market-Rate Rental Housing'!C39,'2.Market-Rate Rental Housing'!C49)</f>
        <v>0</v>
      </c>
      <c r="E50" s="993">
        <f>SUM('2.Market-Rate Rental Housing'!D9,'2.Market-Rate Rental Housing'!D19,'2.Market-Rate Rental Housing'!D29,'2.Market-Rate Rental Housing'!D39,'2.Market-Rate Rental Housing'!D49)</f>
        <v>0</v>
      </c>
      <c r="F50" s="994">
        <f>SUM('2.Market-Rate Rental Housing'!E9,'2.Market-Rate Rental Housing'!E19,'2.Market-Rate Rental Housing'!E29,'2.Market-Rate Rental Housing'!E39,'2.Market-Rate Rental Housing'!E49)</f>
        <v>94</v>
      </c>
      <c r="G50" s="995">
        <f>SUM('2.Market-Rate Rental Housing'!F9,'2.Market-Rate Rental Housing'!F19,'2.Market-Rate Rental Housing'!F29,'2.Market-Rate Rental Housing'!F39,'2.Market-Rate Rental Housing'!F49)</f>
        <v>47</v>
      </c>
      <c r="H50" s="993">
        <f>SUM('2.Market-Rate Rental Housing'!G9,'2.Market-Rate Rental Housing'!G19,'2.Market-Rate Rental Housing'!G29,'2.Market-Rate Rental Housing'!G39,'2.Market-Rate Rental Housing'!G49)</f>
        <v>339</v>
      </c>
      <c r="I50" s="994">
        <f>SUM('2.Market-Rate Rental Housing'!H9,'2.Market-Rate Rental Housing'!H19,'2.Market-Rate Rental Housing'!H29,'2.Market-Rate Rental Housing'!H39,'2.Market-Rate Rental Housing'!H49)</f>
        <v>81</v>
      </c>
      <c r="J50" s="995">
        <f>SUM('2.Market-Rate Rental Housing'!I9,'2.Market-Rate Rental Housing'!I19,'2.Market-Rate Rental Housing'!I29,'2.Market-Rate Rental Housing'!I39,'2.Market-Rate Rental Housing'!I49)</f>
        <v>40</v>
      </c>
      <c r="K50" s="703">
        <f>SUM('2.Market-Rate Rental Housing'!J9,'2.Market-Rate Rental Housing'!J19,'2.Market-Rate Rental Housing'!J29,'2.Market-Rate Rental Housing'!J39,'2.Market-Rate Rental Housing'!J49)</f>
        <v>397</v>
      </c>
      <c r="L50" s="703">
        <f>SUM('2.Market-Rate Rental Housing'!K9,'2.Market-Rate Rental Housing'!K19,'2.Market-Rate Rental Housing'!K29,'2.Market-Rate Rental Housing'!K39,'2.Market-Rate Rental Housing'!K49)</f>
        <v>198</v>
      </c>
      <c r="M50" s="703">
        <f>SUM('2.Market-Rate Rental Housing'!L9,'2.Market-Rate Rental Housing'!L19,'2.Market-Rate Rental Housing'!L29,'2.Market-Rate Rental Housing'!L39,'2.Market-Rate Rental Housing'!L49)</f>
        <v>15</v>
      </c>
      <c r="N50" s="705">
        <f>SUM('2.Market-Rate Rental Housing'!M9,'2.Market-Rate Rental Housing'!M19,'2.Market-Rate Rental Housing'!M29,'2.Market-Rate Rental Housing'!M39,'2.Market-Rate Rental Housing'!M49)</f>
        <v>0</v>
      </c>
    </row>
    <row r="51" spans="1:14">
      <c r="A51" s="665" t="s">
        <v>66</v>
      </c>
      <c r="B51" s="694"/>
      <c r="C51" s="992">
        <f>SUM('3.Market-Rate For-Sale Housing'!C53:C55)</f>
        <v>632.97349999999994</v>
      </c>
      <c r="D51" s="996">
        <f>SUM('3.Market-Rate For-Sale Housing'!C18,'3.Market-Rate For-Sale Housing'!C27,'3.Market-Rate For-Sale Housing'!C9)</f>
        <v>0</v>
      </c>
      <c r="E51" s="997">
        <f>SUM('3.Market-Rate For-Sale Housing'!D18,'3.Market-Rate For-Sale Housing'!D27,'3.Market-Rate For-Sale Housing'!D9)</f>
        <v>242</v>
      </c>
      <c r="F51" s="998">
        <f>SUM('3.Market-Rate For-Sale Housing'!E18,'3.Market-Rate For-Sale Housing'!E27,'3.Market-Rate For-Sale Housing'!E9)</f>
        <v>0</v>
      </c>
      <c r="G51" s="999">
        <f>SUM('3.Market-Rate For-Sale Housing'!F18,'3.Market-Rate For-Sale Housing'!F27,'3.Market-Rate For-Sale Housing'!F9)</f>
        <v>0</v>
      </c>
      <c r="H51" s="1000">
        <f>SUM('3.Market-Rate For-Sale Housing'!G18,'3.Market-Rate For-Sale Housing'!G27,'3.Market-Rate For-Sale Housing'!G9)</f>
        <v>4</v>
      </c>
      <c r="I51" s="998">
        <f>SUM('3.Market-Rate For-Sale Housing'!H18,'3.Market-Rate For-Sale Housing'!H27,'3.Market-Rate For-Sale Housing'!H9)</f>
        <v>109</v>
      </c>
      <c r="J51" s="999">
        <f>SUM('3.Market-Rate For-Sale Housing'!I18,'3.Market-Rate For-Sale Housing'!I27,'3.Market-Rate For-Sale Housing'!I9)</f>
        <v>53</v>
      </c>
      <c r="K51" s="998">
        <f>SUM('3.Market-Rate For-Sale Housing'!J18,'3.Market-Rate For-Sale Housing'!J27,'3.Market-Rate For-Sale Housing'!J9)</f>
        <v>0</v>
      </c>
      <c r="L51" s="998">
        <f>SUM('3.Market-Rate For-Sale Housing'!K18,'3.Market-Rate For-Sale Housing'!K27,'3.Market-Rate For-Sale Housing'!K9)</f>
        <v>200</v>
      </c>
      <c r="M51" s="998">
        <f>SUM('3.Market-Rate For-Sale Housing'!L18,'3.Market-Rate For-Sale Housing'!L27,'3.Market-Rate For-Sale Housing'!L9)</f>
        <v>26</v>
      </c>
      <c r="N51" s="999">
        <f>SUM('3.Market-Rate For-Sale Housing'!M18,'3.Market-Rate For-Sale Housing'!M27,'3.Market-Rate For-Sale Housing'!M9)</f>
        <v>0</v>
      </c>
    </row>
    <row r="52" spans="1:14">
      <c r="A52" s="665" t="s">
        <v>67</v>
      </c>
      <c r="B52" s="694"/>
      <c r="C52" s="992">
        <f>SUM('4.Affordable Rental Housing'!C58:C60)</f>
        <v>244.51900000000001</v>
      </c>
      <c r="D52" s="703">
        <f>SUM('4.Affordable Rental Housing'!C9,'4.Affordable Rental Housing'!C19,'4.Affordable Rental Housing'!C29)</f>
        <v>0</v>
      </c>
      <c r="E52" s="704">
        <f>SUM('4.Affordable Rental Housing'!D9,'4.Affordable Rental Housing'!D19,'4.Affordable Rental Housing'!D29)</f>
        <v>0</v>
      </c>
      <c r="F52" s="703">
        <f>SUM('4.Affordable Rental Housing'!E9,'4.Affordable Rental Housing'!E19,'4.Affordable Rental Housing'!E29)</f>
        <v>10</v>
      </c>
      <c r="G52" s="705">
        <f>SUM('4.Affordable Rental Housing'!F9,'4.Affordable Rental Housing'!F19,'4.Affordable Rental Housing'!F29)</f>
        <v>5</v>
      </c>
      <c r="H52" s="704">
        <f>SUM('4.Affordable Rental Housing'!G9,'4.Affordable Rental Housing'!G19,'4.Affordable Rental Housing'!G29)</f>
        <v>20</v>
      </c>
      <c r="I52" s="703">
        <f>SUM('4.Affordable Rental Housing'!H9,'4.Affordable Rental Housing'!H19,'4.Affordable Rental Housing'!H29)</f>
        <v>15</v>
      </c>
      <c r="J52" s="705">
        <f>SUM('4.Affordable Rental Housing'!I9,'4.Affordable Rental Housing'!I19,'4.Affordable Rental Housing'!I29)</f>
        <v>0</v>
      </c>
      <c r="K52" s="703">
        <f>SUM('4.Affordable Rental Housing'!J9,'4.Affordable Rental Housing'!J19,'4.Affordable Rental Housing'!J29)</f>
        <v>120</v>
      </c>
      <c r="L52" s="703">
        <f>SUM('4.Affordable Rental Housing'!K9,'4.Affordable Rental Housing'!K19,'4.Affordable Rental Housing'!K29)</f>
        <v>60</v>
      </c>
      <c r="M52" s="703">
        <f>SUM('4.Affordable Rental Housing'!L9,'4.Affordable Rental Housing'!L19,'4.Affordable Rental Housing'!L29)</f>
        <v>15</v>
      </c>
      <c r="N52" s="705">
        <f>SUM('4.Affordable Rental Housing'!M9,'4.Affordable Rental Housing'!M19,'4.Affordable Rental Housing'!M29)</f>
        <v>0</v>
      </c>
    </row>
    <row r="53" spans="1:14">
      <c r="A53" s="665" t="s">
        <v>413</v>
      </c>
      <c r="B53" s="694"/>
      <c r="C53" s="992">
        <f>SUM('5.Affordable For-Sale Housing '!C53:C55)</f>
        <v>75</v>
      </c>
      <c r="D53" s="703">
        <f>SUM('5.Affordable For-Sale Housing '!C9,'5.Affordable For-Sale Housing '!C18,'5.Affordable For-Sale Housing '!C27)</f>
        <v>0</v>
      </c>
      <c r="E53" s="704">
        <f>SUM('5.Affordable For-Sale Housing '!D9,'5.Affordable For-Sale Housing '!D18,'5.Affordable For-Sale Housing '!D27)</f>
        <v>10</v>
      </c>
      <c r="F53" s="703">
        <f>SUM('5.Affordable For-Sale Housing '!E9,'5.Affordable For-Sale Housing '!E18,'5.Affordable For-Sale Housing '!E27)</f>
        <v>0</v>
      </c>
      <c r="G53" s="705">
        <f>SUM('5.Affordable For-Sale Housing '!F9,'5.Affordable For-Sale Housing '!F18,'5.Affordable For-Sale Housing '!F27)</f>
        <v>0</v>
      </c>
      <c r="H53" s="704">
        <f>SUM('5.Affordable For-Sale Housing '!G9,'5.Affordable For-Sale Housing '!G18,'5.Affordable For-Sale Housing '!G27)</f>
        <v>0</v>
      </c>
      <c r="I53" s="703">
        <f>SUM('5.Affordable For-Sale Housing '!H9,'5.Affordable For-Sale Housing '!H18,'5.Affordable For-Sale Housing '!H27)</f>
        <v>10</v>
      </c>
      <c r="J53" s="705">
        <f>SUM('5.Affordable For-Sale Housing '!I9,'5.Affordable For-Sale Housing '!I18,'5.Affordable For-Sale Housing '!I27)</f>
        <v>5</v>
      </c>
      <c r="K53" s="703">
        <f>SUM('5.Affordable For-Sale Housing '!J9,'5.Affordable For-Sale Housing '!J18,'5.Affordable For-Sale Housing '!J27)</f>
        <v>0</v>
      </c>
      <c r="L53" s="703">
        <f>SUM('5.Affordable For-Sale Housing '!K9,'5.Affordable For-Sale Housing '!K18,'5.Affordable For-Sale Housing '!K27)</f>
        <v>0</v>
      </c>
      <c r="M53" s="703">
        <f>SUM('5.Affordable For-Sale Housing '!L9,'5.Affordable For-Sale Housing '!L18,'5.Affordable For-Sale Housing '!L27)</f>
        <v>50</v>
      </c>
      <c r="N53" s="705">
        <f>SUM('5.Affordable For-Sale Housing '!M9,'5.Affordable For-Sale Housing '!M18,'5.Affordable For-Sale Housing '!M27)</f>
        <v>0</v>
      </c>
    </row>
    <row r="54" spans="1:14">
      <c r="A54" s="651" t="s">
        <v>49</v>
      </c>
      <c r="B54" s="650"/>
      <c r="C54" s="1001">
        <f>'9.Hotel'!C33</f>
        <v>665</v>
      </c>
      <c r="D54" s="703">
        <f>'9.Hotel'!C8</f>
        <v>0</v>
      </c>
      <c r="E54" s="704">
        <f>'9.Hotel'!D8</f>
        <v>0</v>
      </c>
      <c r="F54" s="703">
        <f>'9.Hotel'!E8</f>
        <v>443.4226666666666</v>
      </c>
      <c r="G54" s="705">
        <f>'9.Hotel'!F8</f>
        <v>221.7113333333333</v>
      </c>
      <c r="H54" s="704">
        <f>'9.Hotel'!G8</f>
        <v>0</v>
      </c>
      <c r="I54" s="703">
        <f>'9.Hotel'!H8</f>
        <v>0</v>
      </c>
      <c r="J54" s="705">
        <f>'9.Hotel'!I8</f>
        <v>0</v>
      </c>
      <c r="K54" s="703">
        <f>'9.Hotel'!J8</f>
        <v>0</v>
      </c>
      <c r="L54" s="703">
        <f>'9.Hotel'!K8</f>
        <v>0</v>
      </c>
      <c r="M54" s="703">
        <f>'9.Hotel'!L8</f>
        <v>0</v>
      </c>
      <c r="N54" s="705">
        <f>'9.Hotel'!M8</f>
        <v>0</v>
      </c>
    </row>
    <row r="55" spans="1:14" ht="15.75" thickBot="1">
      <c r="A55" s="651" t="s">
        <v>50</v>
      </c>
      <c r="B55" s="650"/>
      <c r="C55" s="1002">
        <f>SUM('10.Structured Parking'!C106:C109)</f>
        <v>3920.2828125000005</v>
      </c>
      <c r="D55" s="703">
        <f>D66/'10.Structured Parking'!$D$112</f>
        <v>0</v>
      </c>
      <c r="E55" s="704">
        <f>E66/'10.Structured Parking'!$D$112</f>
        <v>527.68062499999996</v>
      </c>
      <c r="F55" s="703">
        <f>F66/'10.Structured Parking'!$D$112</f>
        <v>434.68656250000004</v>
      </c>
      <c r="G55" s="705">
        <f>G66/'10.Structured Parking'!$D$112</f>
        <v>0</v>
      </c>
      <c r="H55" s="704">
        <f>H66/'10.Structured Parking'!$D$112</f>
        <v>1611.0718750000001</v>
      </c>
      <c r="I55" s="703">
        <f>I66/'10.Structured Parking'!$D$112</f>
        <v>528.30937500000005</v>
      </c>
      <c r="J55" s="705">
        <f>J66/'10.Structured Parking'!$D$112</f>
        <v>0</v>
      </c>
      <c r="K55" s="703">
        <f>K66/'10.Structured Parking'!$D$112</f>
        <v>0</v>
      </c>
      <c r="L55" s="703">
        <f>L66/'10.Structured Parking'!$D$112</f>
        <v>545.6895833333333</v>
      </c>
      <c r="M55" s="703">
        <f>M66/'10.Structured Parking'!$D$112</f>
        <v>272.84479166666665</v>
      </c>
      <c r="N55" s="705">
        <f>N66/'10.Structured Parking'!$D$112</f>
        <v>0</v>
      </c>
    </row>
    <row r="56" spans="1:14" ht="15.75" hidden="1" thickBot="1">
      <c r="A56" s="651" t="s">
        <v>51</v>
      </c>
      <c r="B56" s="650"/>
      <c r="C56" s="1002">
        <f>SUM('11.Surface Parking'!C83:C85)</f>
        <v>0</v>
      </c>
      <c r="D56" s="703">
        <f>D67/'11.Surface Parking'!$D$88</f>
        <v>0</v>
      </c>
      <c r="E56" s="704">
        <f>E67/'11.Surface Parking'!$D$88</f>
        <v>0</v>
      </c>
      <c r="F56" s="703">
        <f>F67/'11.Surface Parking'!$D$88</f>
        <v>0</v>
      </c>
      <c r="G56" s="705">
        <f>G67/'11.Surface Parking'!$D$88</f>
        <v>0</v>
      </c>
      <c r="H56" s="704">
        <f>H67/'11.Surface Parking'!$D$88</f>
        <v>0</v>
      </c>
      <c r="I56" s="703">
        <f>I67/'11.Surface Parking'!$D$88</f>
        <v>0</v>
      </c>
      <c r="J56" s="705">
        <f>J67/'11.Surface Parking'!$D$88</f>
        <v>0</v>
      </c>
      <c r="K56" s="703">
        <f>K67/'11.Surface Parking'!$D$88</f>
        <v>0</v>
      </c>
      <c r="L56" s="703">
        <f>L67/'11.Surface Parking'!$D$88</f>
        <v>0</v>
      </c>
      <c r="M56" s="703">
        <f>M67/'11.Surface Parking'!$D$88</f>
        <v>0</v>
      </c>
      <c r="N56" s="705">
        <f>N67/'11.Surface Parking'!$D$88</f>
        <v>0</v>
      </c>
    </row>
    <row r="57" spans="1:14" ht="16.5" thickBot="1">
      <c r="A57" s="22" t="s">
        <v>31</v>
      </c>
      <c r="B57" s="23"/>
      <c r="C57" s="17"/>
      <c r="D57" s="17"/>
      <c r="E57" s="474"/>
      <c r="F57" s="18"/>
      <c r="G57" s="24"/>
      <c r="H57" s="474"/>
      <c r="I57" s="18"/>
      <c r="J57" s="24"/>
      <c r="K57" s="18"/>
      <c r="L57" s="18"/>
      <c r="M57" s="18"/>
      <c r="N57" s="24"/>
    </row>
    <row r="58" spans="1:14">
      <c r="A58" s="665" t="s">
        <v>65</v>
      </c>
      <c r="B58" s="666"/>
      <c r="C58" s="1003">
        <f>SUM('2.Market-Rate Rental Housing'!D78:D82)</f>
        <v>1210343.7</v>
      </c>
      <c r="D58" s="703">
        <f>D50*'2.Market-Rate Rental Housing'!$B$12</f>
        <v>0</v>
      </c>
      <c r="E58" s="704">
        <f>E50*'2.Market-Rate Rental Housing'!$B$12</f>
        <v>0</v>
      </c>
      <c r="F58" s="703">
        <f>F50*'2.Market-Rate Rental Housing'!$B$12</f>
        <v>94000</v>
      </c>
      <c r="G58" s="705">
        <f>G50*'2.Market-Rate Rental Housing'!$B$12</f>
        <v>47000</v>
      </c>
      <c r="H58" s="704">
        <f>H50*'2.Market-Rate Rental Housing'!$B$12</f>
        <v>339000</v>
      </c>
      <c r="I58" s="703">
        <f>I50*'2.Market-Rate Rental Housing'!$B$12</f>
        <v>81000</v>
      </c>
      <c r="J58" s="705">
        <f>J50*'2.Market-Rate Rental Housing'!$B$12</f>
        <v>40000</v>
      </c>
      <c r="K58" s="703">
        <f>K50*'2.Market-Rate Rental Housing'!$B$12</f>
        <v>397000</v>
      </c>
      <c r="L58" s="703">
        <f>L50*'2.Market-Rate Rental Housing'!$B$12</f>
        <v>198000</v>
      </c>
      <c r="M58" s="703">
        <f>M50*'2.Market-Rate Rental Housing'!$B$12</f>
        <v>15000</v>
      </c>
      <c r="N58" s="705">
        <f>N50*'2.Market-Rate Rental Housing'!$B$12</f>
        <v>0</v>
      </c>
    </row>
    <row r="59" spans="1:14">
      <c r="A59" s="665" t="s">
        <v>66</v>
      </c>
      <c r="B59" s="666"/>
      <c r="C59" s="1003">
        <f>SUM('3.Market-Rate For-Sale Housing'!D53:D55)</f>
        <v>632973.5</v>
      </c>
      <c r="D59" s="703">
        <f>D51*'3.Market-Rate For-Sale Housing'!$B$21</f>
        <v>0</v>
      </c>
      <c r="E59" s="704">
        <f>E51*'3.Market-Rate For-Sale Housing'!$B$21</f>
        <v>242000</v>
      </c>
      <c r="F59" s="703">
        <f>F51*'3.Market-Rate For-Sale Housing'!$B$21</f>
        <v>0</v>
      </c>
      <c r="G59" s="705">
        <f>G51*'3.Market-Rate For-Sale Housing'!$B$21</f>
        <v>0</v>
      </c>
      <c r="H59" s="704">
        <f>H51*'3.Market-Rate For-Sale Housing'!$B$21</f>
        <v>4000</v>
      </c>
      <c r="I59" s="703">
        <f>I51*'3.Market-Rate For-Sale Housing'!$B$21</f>
        <v>109000</v>
      </c>
      <c r="J59" s="705">
        <f>J51*'3.Market-Rate For-Sale Housing'!$B$21</f>
        <v>53000</v>
      </c>
      <c r="K59" s="703">
        <f>K51*'3.Market-Rate For-Sale Housing'!$B$21</f>
        <v>0</v>
      </c>
      <c r="L59" s="703">
        <f>L51*'3.Market-Rate For-Sale Housing'!$B$21</f>
        <v>200000</v>
      </c>
      <c r="M59" s="703">
        <f>M51*'3.Market-Rate For-Sale Housing'!$B$21</f>
        <v>26000</v>
      </c>
      <c r="N59" s="705">
        <f>N51*'3.Market-Rate For-Sale Housing'!$B$21</f>
        <v>0</v>
      </c>
    </row>
    <row r="60" spans="1:14">
      <c r="A60" s="665" t="s">
        <v>67</v>
      </c>
      <c r="B60" s="666"/>
      <c r="C60" s="1003">
        <f>SUM('4.Affordable Rental Housing'!D58:D60)</f>
        <v>244519</v>
      </c>
      <c r="D60" s="703">
        <f>D52*'4.Affordable Rental Housing'!$B$12</f>
        <v>0</v>
      </c>
      <c r="E60" s="704">
        <f>E52*'4.Affordable Rental Housing'!$B$12</f>
        <v>0</v>
      </c>
      <c r="F60" s="703">
        <f>F52*'4.Affordable Rental Housing'!$B$12</f>
        <v>10000</v>
      </c>
      <c r="G60" s="705">
        <f>G52*'4.Affordable Rental Housing'!$B$12</f>
        <v>5000</v>
      </c>
      <c r="H60" s="704">
        <f>H52*'4.Affordable Rental Housing'!$B$12</f>
        <v>20000</v>
      </c>
      <c r="I60" s="703">
        <f>I52*'4.Affordable Rental Housing'!$B$12</f>
        <v>15000</v>
      </c>
      <c r="J60" s="705">
        <f>J52*'4.Affordable Rental Housing'!$B$12</f>
        <v>0</v>
      </c>
      <c r="K60" s="703">
        <f>K52*'4.Affordable Rental Housing'!$B$12</f>
        <v>120000</v>
      </c>
      <c r="L60" s="703">
        <f>L52*'4.Affordable Rental Housing'!$B$12</f>
        <v>60000</v>
      </c>
      <c r="M60" s="703">
        <f>M52*'4.Affordable Rental Housing'!$B$12</f>
        <v>15000</v>
      </c>
      <c r="N60" s="705">
        <f>N52*'4.Affordable Rental Housing'!$B$12</f>
        <v>0</v>
      </c>
    </row>
    <row r="61" spans="1:14">
      <c r="A61" s="665" t="s">
        <v>413</v>
      </c>
      <c r="B61" s="666"/>
      <c r="C61" s="1003">
        <f>SUM('5.Affordable For-Sale Housing '!D53:D55)</f>
        <v>75000</v>
      </c>
      <c r="D61" s="703">
        <f>D53*'5.Affordable For-Sale Housing '!$B$12</f>
        <v>0</v>
      </c>
      <c r="E61" s="704">
        <f>E53*'5.Affordable For-Sale Housing '!$B$12</f>
        <v>10000</v>
      </c>
      <c r="F61" s="703">
        <f>F53*'5.Affordable For-Sale Housing '!$B$12</f>
        <v>0</v>
      </c>
      <c r="G61" s="705">
        <f>G53*'5.Affordable For-Sale Housing '!$B$12</f>
        <v>0</v>
      </c>
      <c r="H61" s="704">
        <f>H53*'5.Affordable For-Sale Housing '!$B$12</f>
        <v>0</v>
      </c>
      <c r="I61" s="703">
        <f>I53*'5.Affordable For-Sale Housing '!$B$12</f>
        <v>10000</v>
      </c>
      <c r="J61" s="705">
        <f>J53*'5.Affordable For-Sale Housing '!$B$12</f>
        <v>5000</v>
      </c>
      <c r="K61" s="703">
        <f>K53*'5.Affordable For-Sale Housing '!$B$12</f>
        <v>0</v>
      </c>
      <c r="L61" s="703">
        <f>L53*'5.Affordable For-Sale Housing '!$B$12</f>
        <v>0</v>
      </c>
      <c r="M61" s="703">
        <f>M53*'5.Affordable For-Sale Housing '!$B$12</f>
        <v>50000</v>
      </c>
      <c r="N61" s="705">
        <f>N53*'5.Affordable For-Sale Housing '!$B$12</f>
        <v>0</v>
      </c>
    </row>
    <row r="62" spans="1:14">
      <c r="A62" s="665" t="s">
        <v>68</v>
      </c>
      <c r="B62" s="650"/>
      <c r="C62" s="1003">
        <f>SUM('6.Office'!C47:C48)</f>
        <v>785249.32799999998</v>
      </c>
      <c r="D62" s="703">
        <f>'Development Schedule'!D83</f>
        <v>0</v>
      </c>
      <c r="E62" s="704">
        <f>'Development Schedule'!E83</f>
        <v>277586.66666666663</v>
      </c>
      <c r="F62" s="703">
        <f>'Development Schedule'!F83</f>
        <v>154152.33333333331</v>
      </c>
      <c r="G62" s="705">
        <f>'Development Schedule'!G83</f>
        <v>0</v>
      </c>
      <c r="H62" s="704">
        <f>'Development Schedule'!H83</f>
        <v>0</v>
      </c>
      <c r="I62" s="703">
        <f>'Development Schedule'!I83</f>
        <v>353510.32799999998</v>
      </c>
      <c r="J62" s="705">
        <f>'Development Schedule'!J83</f>
        <v>0</v>
      </c>
      <c r="K62" s="703">
        <f>'Development Schedule'!K83</f>
        <v>0</v>
      </c>
      <c r="L62" s="703">
        <f>'Development Schedule'!L83</f>
        <v>0</v>
      </c>
      <c r="M62" s="703">
        <f>'Development Schedule'!M83</f>
        <v>0</v>
      </c>
      <c r="N62" s="705">
        <f>'Development Schedule'!N83</f>
        <v>0</v>
      </c>
    </row>
    <row r="63" spans="1:14">
      <c r="A63" s="665" t="s">
        <v>441</v>
      </c>
      <c r="B63" s="650"/>
      <c r="C63" s="1003">
        <f>SUM('7.Industrial &amp; School'!C56:C58)</f>
        <v>218582</v>
      </c>
      <c r="D63" s="703">
        <f>'Development Schedule'!D82</f>
        <v>0</v>
      </c>
      <c r="E63" s="704">
        <f>'Development Schedule'!E82</f>
        <v>0</v>
      </c>
      <c r="F63" s="703">
        <f>'Development Schedule'!F82</f>
        <v>36727</v>
      </c>
      <c r="G63" s="705">
        <f>'Development Schedule'!G82</f>
        <v>0</v>
      </c>
      <c r="H63" s="704">
        <f>'Development Schedule'!H82</f>
        <v>0</v>
      </c>
      <c r="I63" s="703">
        <f>'Development Schedule'!I82</f>
        <v>166473</v>
      </c>
      <c r="J63" s="705">
        <f>'Development Schedule'!J82</f>
        <v>15382</v>
      </c>
      <c r="K63" s="703">
        <f>'Development Schedule'!K82</f>
        <v>0</v>
      </c>
      <c r="L63" s="703">
        <f>'Development Schedule'!L82</f>
        <v>0</v>
      </c>
      <c r="M63" s="703">
        <f>'Development Schedule'!M82</f>
        <v>18333</v>
      </c>
      <c r="N63" s="705">
        <f>'Development Schedule'!N82</f>
        <v>0</v>
      </c>
    </row>
    <row r="64" spans="1:14">
      <c r="A64" s="665" t="s">
        <v>137</v>
      </c>
      <c r="B64" s="650"/>
      <c r="C64" s="1003">
        <f>SUM('8.Market-Rate Retail'!C103:C110)</f>
        <v>521435.97</v>
      </c>
      <c r="D64" s="703">
        <f>'Development Schedule'!D77</f>
        <v>0</v>
      </c>
      <c r="E64" s="704">
        <f>'Development Schedule'!E77</f>
        <v>77635</v>
      </c>
      <c r="F64" s="703">
        <f>'Development Schedule'!F77</f>
        <v>71538.666666666657</v>
      </c>
      <c r="G64" s="705">
        <f>'Development Schedule'!G77</f>
        <v>35769.333333333328</v>
      </c>
      <c r="H64" s="704">
        <f>'Development Schedule'!H77</f>
        <v>161301.79999999999</v>
      </c>
      <c r="I64" s="703">
        <f>'Development Schedule'!I77</f>
        <v>75724.17</v>
      </c>
      <c r="J64" s="705">
        <f>'Development Schedule'!J77</f>
        <v>25008</v>
      </c>
      <c r="K64" s="703">
        <f>'Development Schedule'!K77</f>
        <v>0</v>
      </c>
      <c r="L64" s="703">
        <f>'Development Schedule'!L77</f>
        <v>42681</v>
      </c>
      <c r="M64" s="703">
        <f>'Development Schedule'!M77</f>
        <v>31778</v>
      </c>
      <c r="N64" s="705">
        <f>'Development Schedule'!N77</f>
        <v>0</v>
      </c>
    </row>
    <row r="65" spans="1:14">
      <c r="A65" s="665" t="s">
        <v>49</v>
      </c>
      <c r="B65" s="650"/>
      <c r="C65" s="1003">
        <f>SUM('9.Hotel'!D33)</f>
        <v>332567</v>
      </c>
      <c r="D65" s="703">
        <f>'Development Schedule'!D76</f>
        <v>0</v>
      </c>
      <c r="E65" s="704">
        <f>'Development Schedule'!E76</f>
        <v>221711.33333333331</v>
      </c>
      <c r="F65" s="703">
        <f>'Development Schedule'!F76</f>
        <v>110855.66666666666</v>
      </c>
      <c r="G65" s="705">
        <f>'Development Schedule'!G76</f>
        <v>0</v>
      </c>
      <c r="H65" s="704">
        <f>'Development Schedule'!H76</f>
        <v>0</v>
      </c>
      <c r="I65" s="703">
        <f>'Development Schedule'!I76</f>
        <v>0</v>
      </c>
      <c r="J65" s="705">
        <f>'Development Schedule'!J76</f>
        <v>0</v>
      </c>
      <c r="K65" s="703">
        <f>'Development Schedule'!K76</f>
        <v>0</v>
      </c>
      <c r="L65" s="703">
        <f>'Development Schedule'!L76</f>
        <v>0</v>
      </c>
      <c r="M65" s="703">
        <f>'Development Schedule'!M76</f>
        <v>0</v>
      </c>
      <c r="N65" s="705">
        <f>'Development Schedule'!N76</f>
        <v>0</v>
      </c>
    </row>
    <row r="66" spans="1:14">
      <c r="A66" s="665" t="s">
        <v>50</v>
      </c>
      <c r="B66" s="650"/>
      <c r="C66" s="1003">
        <f>SUM('10.Structured Parking'!D106:D109)</f>
        <v>1254490.5</v>
      </c>
      <c r="D66" s="703">
        <f>'Development Schedule'!D84</f>
        <v>0</v>
      </c>
      <c r="E66" s="704">
        <f>'Development Schedule'!E84</f>
        <v>168857.8</v>
      </c>
      <c r="F66" s="703">
        <f>'Development Schedule'!F84</f>
        <v>139099.70000000001</v>
      </c>
      <c r="G66" s="705">
        <f>'Development Schedule'!G84</f>
        <v>0</v>
      </c>
      <c r="H66" s="704">
        <f>'Development Schedule'!H84</f>
        <v>515543</v>
      </c>
      <c r="I66" s="703">
        <f>'Development Schedule'!I84</f>
        <v>169059</v>
      </c>
      <c r="J66" s="705">
        <f>'Development Schedule'!J84</f>
        <v>0</v>
      </c>
      <c r="K66" s="703">
        <f>'Development Schedule'!K84</f>
        <v>0</v>
      </c>
      <c r="L66" s="703">
        <f>'Development Schedule'!L84</f>
        <v>174620.66666666666</v>
      </c>
      <c r="M66" s="703">
        <f>'Development Schedule'!M84</f>
        <v>87310.333333333328</v>
      </c>
      <c r="N66" s="705">
        <f>'Development Schedule'!N84</f>
        <v>0</v>
      </c>
    </row>
    <row r="67" spans="1:14" hidden="1">
      <c r="A67" s="672" t="s">
        <v>51</v>
      </c>
      <c r="B67" s="657"/>
      <c r="C67" s="1004">
        <f>SUM('11.Surface Parking'!D83:D85)</f>
        <v>0</v>
      </c>
      <c r="D67" s="1005">
        <f>'Development Schedule'!D85</f>
        <v>0</v>
      </c>
      <c r="E67" s="1006">
        <f>'Development Schedule'!E85</f>
        <v>0</v>
      </c>
      <c r="F67" s="1005">
        <f>'Development Schedule'!F85</f>
        <v>0</v>
      </c>
      <c r="G67" s="1007">
        <f>'Development Schedule'!G85</f>
        <v>0</v>
      </c>
      <c r="H67" s="1006">
        <f>'Development Schedule'!H85</f>
        <v>0</v>
      </c>
      <c r="I67" s="1005">
        <f>'Development Schedule'!I85</f>
        <v>0</v>
      </c>
      <c r="J67" s="1007">
        <f>'Development Schedule'!J85</f>
        <v>0</v>
      </c>
      <c r="K67" s="1005">
        <f>'Development Schedule'!K85</f>
        <v>0</v>
      </c>
      <c r="L67" s="1005">
        <f>'Development Schedule'!L85</f>
        <v>0</v>
      </c>
      <c r="M67" s="1005">
        <f>'Development Schedule'!M85</f>
        <v>0</v>
      </c>
      <c r="N67" s="1007">
        <f>'Development Schedule'!N85</f>
        <v>0</v>
      </c>
    </row>
    <row r="68" spans="1:14" ht="16.5" thickBot="1">
      <c r="A68" s="689" t="s">
        <v>32</v>
      </c>
      <c r="B68" s="659"/>
      <c r="C68" s="690"/>
      <c r="D68" s="691">
        <f>SUM(D58:D67)</f>
        <v>0</v>
      </c>
      <c r="E68" s="692">
        <f t="shared" ref="E68:N68" si="8">SUM(E58:E67)</f>
        <v>997790.8</v>
      </c>
      <c r="F68" s="691">
        <f t="shared" si="8"/>
        <v>616373.3666666667</v>
      </c>
      <c r="G68" s="693">
        <f t="shared" si="8"/>
        <v>87769.333333333328</v>
      </c>
      <c r="H68" s="692">
        <f t="shared" si="8"/>
        <v>1039844.8</v>
      </c>
      <c r="I68" s="691">
        <f t="shared" si="8"/>
        <v>979766.49800000002</v>
      </c>
      <c r="J68" s="693">
        <f t="shared" si="8"/>
        <v>138390</v>
      </c>
      <c r="K68" s="691">
        <f t="shared" si="8"/>
        <v>517000</v>
      </c>
      <c r="L68" s="691">
        <f t="shared" si="8"/>
        <v>675301.66666666663</v>
      </c>
      <c r="M68" s="691">
        <f t="shared" si="8"/>
        <v>243421.33333333331</v>
      </c>
      <c r="N68" s="693">
        <f t="shared" si="8"/>
        <v>0</v>
      </c>
    </row>
    <row r="69" spans="1:14" s="10" customFormat="1" ht="16.5" thickBot="1">
      <c r="A69" s="554"/>
      <c r="B69" s="498"/>
      <c r="C69" s="499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</row>
    <row r="70" spans="1:14" ht="16.5" thickBot="1">
      <c r="A70" s="990" t="s">
        <v>140</v>
      </c>
      <c r="B70" s="991"/>
      <c r="C70" s="991"/>
      <c r="D70" s="991"/>
      <c r="E70" s="991"/>
      <c r="F70" s="979"/>
      <c r="G70" s="976"/>
      <c r="H70" s="10"/>
      <c r="I70" s="1008" t="s">
        <v>252</v>
      </c>
      <c r="J70" s="978"/>
      <c r="K70" s="978"/>
      <c r="L70" s="978"/>
      <c r="M70" s="978"/>
      <c r="N70" s="1009"/>
    </row>
    <row r="71" spans="1:14" s="14" customFormat="1" ht="16.5" customHeight="1" thickBot="1">
      <c r="A71" s="662" t="s">
        <v>2</v>
      </c>
      <c r="B71" s="645"/>
      <c r="C71" s="663"/>
      <c r="D71" s="664"/>
      <c r="E71" s="646" t="s">
        <v>53</v>
      </c>
      <c r="F71" s="647" t="s">
        <v>35</v>
      </c>
      <c r="G71" s="8"/>
      <c r="H71" s="13"/>
      <c r="I71" s="1010"/>
      <c r="J71" s="664"/>
      <c r="K71" s="664"/>
      <c r="L71" s="645"/>
      <c r="M71" s="646" t="s">
        <v>52</v>
      </c>
      <c r="N71" s="647" t="s">
        <v>76</v>
      </c>
    </row>
    <row r="72" spans="1:14" ht="15.75">
      <c r="A72" s="665" t="s">
        <v>65</v>
      </c>
      <c r="B72" s="666"/>
      <c r="C72" s="666"/>
      <c r="D72" s="650"/>
      <c r="E72" s="960">
        <f>F72/C50</f>
        <v>284726.88226914016</v>
      </c>
      <c r="F72" s="966">
        <f t="shared" ref="F72:F80" si="9">SUM(D17:N17)</f>
        <v>344617388.1750955</v>
      </c>
      <c r="G72" s="11"/>
      <c r="H72" s="10"/>
      <c r="I72" s="1057" t="s">
        <v>77</v>
      </c>
      <c r="J72" s="498"/>
      <c r="K72" s="498"/>
      <c r="L72" s="1058"/>
      <c r="M72" s="950"/>
      <c r="N72" s="1063"/>
    </row>
    <row r="73" spans="1:14">
      <c r="A73" s="665" t="s">
        <v>66</v>
      </c>
      <c r="B73" s="666"/>
      <c r="C73" s="666"/>
      <c r="D73" s="650"/>
      <c r="E73" s="961">
        <f>F73/C51</f>
        <v>277341.93553060829</v>
      </c>
      <c r="F73" s="930">
        <f t="shared" si="9"/>
        <v>175550095.62958348</v>
      </c>
      <c r="G73" s="11"/>
      <c r="H73" s="10"/>
      <c r="I73" s="651" t="s">
        <v>436</v>
      </c>
      <c r="J73" s="650"/>
      <c r="K73" s="650"/>
      <c r="L73" s="1059"/>
      <c r="M73" s="670">
        <f>Budget!C12</f>
        <v>397030237.55734479</v>
      </c>
      <c r="N73" s="654">
        <f>M73/$M$83</f>
        <v>0.29322516129512716</v>
      </c>
    </row>
    <row r="74" spans="1:14">
      <c r="A74" s="665" t="s">
        <v>67</v>
      </c>
      <c r="B74" s="666"/>
      <c r="C74" s="666"/>
      <c r="D74" s="650"/>
      <c r="E74" s="962">
        <f>F74/C52</f>
        <v>293749.56402867963</v>
      </c>
      <c r="F74" s="930">
        <f t="shared" si="9"/>
        <v>71827349.646728709</v>
      </c>
      <c r="G74" s="11"/>
      <c r="H74" s="10"/>
      <c r="I74" s="651" t="s">
        <v>435</v>
      </c>
      <c r="J74" s="650"/>
      <c r="K74" s="650"/>
      <c r="L74" s="1060"/>
      <c r="M74" s="670">
        <f>Budget!C13</f>
        <v>48300000</v>
      </c>
      <c r="N74" s="654">
        <f>M74/$M$83</f>
        <v>3.5671780007710499E-2</v>
      </c>
    </row>
    <row r="75" spans="1:14" ht="15.75">
      <c r="A75" s="694" t="s">
        <v>413</v>
      </c>
      <c r="B75" s="666"/>
      <c r="C75" s="666"/>
      <c r="D75" s="650"/>
      <c r="E75" s="961">
        <f>F75/C53</f>
        <v>298697.43964676239</v>
      </c>
      <c r="F75" s="930">
        <f t="shared" si="9"/>
        <v>22402307.973507177</v>
      </c>
      <c r="G75" s="11"/>
      <c r="H75" s="10"/>
      <c r="I75" s="648" t="s">
        <v>78</v>
      </c>
      <c r="J75" s="649"/>
      <c r="K75" s="649"/>
      <c r="L75" s="1060"/>
      <c r="M75" s="651"/>
      <c r="N75" s="654"/>
    </row>
    <row r="76" spans="1:14">
      <c r="A76" s="21" t="s">
        <v>393</v>
      </c>
      <c r="E76" s="963">
        <f>F76/C62</f>
        <v>240.6656175886406</v>
      </c>
      <c r="F76" s="967">
        <f t="shared" si="9"/>
        <v>188982514.48418501</v>
      </c>
      <c r="G76" s="11"/>
      <c r="H76" s="10"/>
      <c r="I76" s="651" t="s">
        <v>251</v>
      </c>
      <c r="J76" s="650"/>
      <c r="K76" s="650"/>
      <c r="L76" s="1060"/>
      <c r="M76" s="671">
        <f>Budget!C11</f>
        <v>887742585.6147176</v>
      </c>
      <c r="N76" s="654">
        <f>M76/$M$83</f>
        <v>0.65563888649118651</v>
      </c>
    </row>
    <row r="77" spans="1:14">
      <c r="A77" s="665" t="s">
        <v>442</v>
      </c>
      <c r="B77" s="650"/>
      <c r="C77" s="666"/>
      <c r="D77" s="650"/>
      <c r="E77" s="961">
        <f>F77/C63</f>
        <v>194.9330911010378</v>
      </c>
      <c r="F77" s="930">
        <f t="shared" si="9"/>
        <v>42608864.919047043</v>
      </c>
      <c r="G77" s="11"/>
      <c r="H77" s="10"/>
      <c r="I77" s="651"/>
      <c r="J77" s="650"/>
      <c r="K77" s="650"/>
      <c r="L77" s="1060"/>
      <c r="M77" s="651"/>
      <c r="N77" s="652"/>
    </row>
    <row r="78" spans="1:14" ht="15.75">
      <c r="A78" s="665" t="s">
        <v>69</v>
      </c>
      <c r="B78" s="650"/>
      <c r="C78" s="666"/>
      <c r="D78" s="650"/>
      <c r="E78" s="961">
        <f>F78/C64</f>
        <v>226.57161283522584</v>
      </c>
      <c r="F78" s="930">
        <f t="shared" si="9"/>
        <v>118142588.71320042</v>
      </c>
      <c r="G78" s="11"/>
      <c r="H78" s="10"/>
      <c r="I78" s="648" t="s">
        <v>79</v>
      </c>
      <c r="J78" s="649"/>
      <c r="K78" s="649"/>
      <c r="L78" s="1060"/>
      <c r="M78" s="651"/>
      <c r="N78" s="652"/>
    </row>
    <row r="79" spans="1:14">
      <c r="A79" s="665" t="s">
        <v>49</v>
      </c>
      <c r="B79" s="650"/>
      <c r="C79" s="666"/>
      <c r="D79" s="650"/>
      <c r="E79" s="964">
        <f>F79/C54</f>
        <v>134614.86508881711</v>
      </c>
      <c r="F79" s="930">
        <f t="shared" si="9"/>
        <v>89518885.284063384</v>
      </c>
      <c r="G79" s="11"/>
      <c r="H79" s="10"/>
      <c r="I79" s="915" t="s">
        <v>417</v>
      </c>
      <c r="J79" s="650"/>
      <c r="K79" s="650"/>
      <c r="L79" s="1060"/>
      <c r="M79" s="671">
        <f>Budget!C15</f>
        <v>3500000</v>
      </c>
      <c r="N79" s="654">
        <f>M79/$M$83</f>
        <v>2.5849115947616306E-3</v>
      </c>
    </row>
    <row r="80" spans="1:14">
      <c r="A80" s="665" t="s">
        <v>191</v>
      </c>
      <c r="B80" s="650"/>
      <c r="C80" s="666"/>
      <c r="D80" s="650"/>
      <c r="E80" s="964">
        <f>F80/(C55)</f>
        <v>17505.492504412268</v>
      </c>
      <c r="F80" s="930">
        <f t="shared" si="9"/>
        <v>68626481.389394999</v>
      </c>
      <c r="G80" s="11"/>
      <c r="H80" s="10"/>
      <c r="I80" s="915" t="s">
        <v>422</v>
      </c>
      <c r="J80" s="650"/>
      <c r="K80" s="650"/>
      <c r="L80" s="1060"/>
      <c r="M80" s="671">
        <f>Budget!C16</f>
        <v>10167750</v>
      </c>
      <c r="N80" s="654">
        <f>M80/$M$83</f>
        <v>7.5093528193250197E-3</v>
      </c>
    </row>
    <row r="81" spans="1:14">
      <c r="A81" s="665" t="s">
        <v>240</v>
      </c>
      <c r="B81" s="650"/>
      <c r="C81" s="666"/>
      <c r="D81" s="650"/>
      <c r="E81" s="961">
        <f>F81/'Land Acquisition'!D7</f>
        <v>121.63298866179454</v>
      </c>
      <c r="F81" s="667">
        <f>SUM(D27:N27)</f>
        <v>164348913.05096418</v>
      </c>
      <c r="G81" s="11"/>
      <c r="H81" s="10"/>
      <c r="I81" s="36" t="s">
        <v>438</v>
      </c>
      <c r="J81" s="10"/>
      <c r="K81" s="10"/>
      <c r="L81" s="926"/>
      <c r="M81" s="671">
        <f>Budget!C18</f>
        <v>7270916.8505800003</v>
      </c>
      <c r="N81" s="654">
        <f>M81/$M$83</f>
        <v>5.3699077918891317E-3</v>
      </c>
    </row>
    <row r="82" spans="1:14" ht="16.5" thickBot="1">
      <c r="A82" s="665" t="s">
        <v>237</v>
      </c>
      <c r="B82" s="650"/>
      <c r="C82" s="666"/>
      <c r="D82" s="650"/>
      <c r="E82" s="1011">
        <v>2</v>
      </c>
      <c r="F82" s="968">
        <f>SUM(D29:N29)</f>
        <v>1688983.75</v>
      </c>
      <c r="G82" s="8"/>
      <c r="H82" s="10"/>
      <c r="I82" s="1061"/>
      <c r="J82" s="1062"/>
      <c r="K82" s="1062"/>
      <c r="L82" s="1056"/>
      <c r="M82" s="1061"/>
      <c r="N82" s="1064"/>
    </row>
    <row r="83" spans="1:14" ht="19.5" thickBot="1">
      <c r="A83" s="662" t="s">
        <v>423</v>
      </c>
      <c r="B83" s="945"/>
      <c r="C83" s="946"/>
      <c r="D83" s="945"/>
      <c r="E83" s="1012"/>
      <c r="F83" s="948">
        <f>Budget!C7</f>
        <v>6570000</v>
      </c>
      <c r="G83" s="10"/>
      <c r="H83" s="10"/>
      <c r="I83" s="658" t="s">
        <v>416</v>
      </c>
      <c r="J83" s="659"/>
      <c r="K83" s="659"/>
      <c r="L83" s="1056"/>
      <c r="M83" s="660">
        <f>SUM(M73:M81)</f>
        <v>1354011490.0226424</v>
      </c>
      <c r="N83" s="661">
        <f>SUM(N73:N81)</f>
        <v>0.99999999999999989</v>
      </c>
    </row>
    <row r="84" spans="1:14" ht="16.5" thickBot="1">
      <c r="A84" s="662" t="s">
        <v>139</v>
      </c>
      <c r="B84" s="668"/>
      <c r="C84" s="668"/>
      <c r="D84" s="669"/>
      <c r="E84" s="646" t="s">
        <v>55</v>
      </c>
      <c r="F84" s="647" t="s">
        <v>56</v>
      </c>
      <c r="G84" s="10"/>
      <c r="H84" s="10"/>
      <c r="I84" s="21" t="s">
        <v>419</v>
      </c>
    </row>
    <row r="85" spans="1:14">
      <c r="A85" s="665" t="s">
        <v>347</v>
      </c>
      <c r="B85" s="650"/>
      <c r="C85" s="666"/>
      <c r="D85" s="650"/>
      <c r="E85" s="1053">
        <f>SUM('1.Infrastructure Costs'!D12:N12)</f>
        <v>432600</v>
      </c>
      <c r="F85" s="1051"/>
      <c r="G85" s="752"/>
      <c r="H85" s="10"/>
      <c r="I85" s="955" t="s">
        <v>439</v>
      </c>
    </row>
    <row r="86" spans="1:14">
      <c r="A86" s="665" t="s">
        <v>348</v>
      </c>
      <c r="B86" s="650"/>
      <c r="C86" s="666"/>
      <c r="D86" s="650"/>
      <c r="E86" s="667">
        <f>SUM('1.Infrastructure Costs'!D13:N13)</f>
        <v>2734650</v>
      </c>
      <c r="F86" s="1052"/>
      <c r="G86" s="10"/>
      <c r="H86" s="10"/>
      <c r="I86" s="21" t="s">
        <v>418</v>
      </c>
    </row>
    <row r="87" spans="1:14" ht="15.75" thickBot="1">
      <c r="A87" s="665" t="s">
        <v>446</v>
      </c>
      <c r="B87" s="650"/>
      <c r="C87" s="666"/>
      <c r="D87" s="650"/>
      <c r="E87" s="667">
        <f>SUM('1.Infrastructure Costs'!D14:N14)</f>
        <v>2291544</v>
      </c>
      <c r="F87" s="1052"/>
      <c r="G87" s="10"/>
      <c r="H87" s="10"/>
    </row>
    <row r="88" spans="1:14" ht="16.5" thickBot="1">
      <c r="A88" s="665" t="s">
        <v>330</v>
      </c>
      <c r="B88" s="650"/>
      <c r="C88" s="666"/>
      <c r="D88" s="650"/>
      <c r="E88" s="667">
        <f>SUM('1.Infrastructure Costs'!D15:N15)</f>
        <v>636540</v>
      </c>
      <c r="F88" s="1052"/>
      <c r="G88" s="10"/>
      <c r="H88" s="10"/>
      <c r="I88" s="1013" t="s">
        <v>285</v>
      </c>
      <c r="J88" s="1014"/>
      <c r="K88" s="1014"/>
      <c r="L88" s="1014"/>
      <c r="M88" s="1014"/>
      <c r="N88" s="1015"/>
    </row>
    <row r="89" spans="1:14" ht="15.75">
      <c r="A89" s="665" t="s">
        <v>445</v>
      </c>
      <c r="B89" s="650"/>
      <c r="C89" s="666"/>
      <c r="D89" s="650"/>
      <c r="E89" s="667">
        <f>SUM('1.Infrastructure Costs'!D16:N16)</f>
        <v>1751000</v>
      </c>
      <c r="F89" s="1052"/>
      <c r="G89" s="10"/>
      <c r="H89" s="10"/>
      <c r="I89" s="753"/>
      <c r="J89" s="754"/>
      <c r="K89" s="755" t="s">
        <v>287</v>
      </c>
      <c r="L89" s="753"/>
      <c r="M89" s="754"/>
      <c r="N89" s="778"/>
    </row>
    <row r="90" spans="1:14" ht="19.5" thickBot="1">
      <c r="A90" s="958" t="s">
        <v>54</v>
      </c>
      <c r="B90" s="657"/>
      <c r="C90" s="673"/>
      <c r="D90" s="657"/>
      <c r="E90" s="1054"/>
      <c r="F90" s="667">
        <f>SUM('1.Infrastructure Costs'!D9:N9)</f>
        <v>14727117.006872624</v>
      </c>
      <c r="G90" s="10"/>
      <c r="H90" s="10"/>
      <c r="I90" s="37" t="s">
        <v>286</v>
      </c>
      <c r="J90" s="750"/>
      <c r="K90" s="777" t="s">
        <v>288</v>
      </c>
      <c r="L90" s="831" t="s">
        <v>289</v>
      </c>
      <c r="M90" s="818"/>
      <c r="N90" s="819"/>
    </row>
    <row r="91" spans="1:14" ht="16.5" customHeight="1" thickBot="1">
      <c r="A91" s="674" t="s">
        <v>34</v>
      </c>
      <c r="B91" s="675"/>
      <c r="C91" s="675"/>
      <c r="D91" s="650"/>
      <c r="E91" s="676">
        <f>SUM(E85:E90)</f>
        <v>7846334</v>
      </c>
      <c r="F91" s="676">
        <f>SUM(F85:F90)</f>
        <v>14727117.006872624</v>
      </c>
      <c r="G91" s="10"/>
      <c r="H91" s="752"/>
      <c r="I91" s="753" t="s">
        <v>399</v>
      </c>
      <c r="J91" s="754"/>
      <c r="K91" s="1016">
        <f>3.03*1.03^2</f>
        <v>3.2145269999999995</v>
      </c>
      <c r="L91" s="1080" t="s">
        <v>313</v>
      </c>
      <c r="M91" s="1081"/>
      <c r="N91" s="1082"/>
    </row>
    <row r="92" spans="1:14" ht="16.149999999999999" customHeight="1" thickBot="1">
      <c r="A92" s="662" t="s">
        <v>3</v>
      </c>
      <c r="B92" s="677"/>
      <c r="C92" s="677"/>
      <c r="D92" s="945"/>
      <c r="E92" s="1017"/>
      <c r="F92" s="680">
        <f>SUM(F72:F83,F91)</f>
        <v>1309611490.0226424</v>
      </c>
      <c r="I92" s="767"/>
      <c r="J92" s="750"/>
      <c r="K92" s="750"/>
      <c r="L92" s="1083"/>
      <c r="M92" s="1084"/>
      <c r="N92" s="1085"/>
    </row>
    <row r="93" spans="1:14" ht="16.5" customHeight="1" thickBot="1">
      <c r="D93" s="15"/>
      <c r="E93" s="27"/>
      <c r="G93" s="944"/>
      <c r="I93" s="33" t="s">
        <v>290</v>
      </c>
      <c r="J93" s="16"/>
      <c r="K93" s="1018">
        <v>5.8999999999999997E-2</v>
      </c>
      <c r="L93" s="33" t="s">
        <v>314</v>
      </c>
      <c r="M93" s="16"/>
      <c r="N93" s="781"/>
    </row>
    <row r="94" spans="1:14" ht="16.5" customHeight="1" thickBot="1">
      <c r="A94" s="1013" t="s">
        <v>275</v>
      </c>
      <c r="B94" s="1014"/>
      <c r="C94" s="1014"/>
      <c r="D94" s="1014"/>
      <c r="E94" s="1014"/>
      <c r="F94" s="1015"/>
      <c r="I94" s="953" t="s">
        <v>398</v>
      </c>
      <c r="J94" s="16"/>
      <c r="K94" s="1019">
        <v>1.36</v>
      </c>
      <c r="L94" s="950" t="s">
        <v>432</v>
      </c>
      <c r="M94" s="754"/>
      <c r="N94" s="778"/>
    </row>
    <row r="95" spans="1:14" ht="15.6" customHeight="1">
      <c r="A95" s="759"/>
      <c r="B95" s="754"/>
      <c r="C95" s="760" t="s">
        <v>142</v>
      </c>
      <c r="D95" s="760" t="s">
        <v>143</v>
      </c>
      <c r="E95" s="760" t="s">
        <v>144</v>
      </c>
      <c r="F95" s="761" t="s">
        <v>32</v>
      </c>
      <c r="I95" s="753" t="s">
        <v>291</v>
      </c>
      <c r="J95" s="754"/>
      <c r="K95" s="1016">
        <f>437*1.03^2</f>
        <v>463.61329999999998</v>
      </c>
      <c r="L95" s="1086" t="s">
        <v>315</v>
      </c>
      <c r="M95" s="1078"/>
      <c r="N95" s="1087"/>
    </row>
    <row r="96" spans="1:14" ht="19.5" thickBot="1">
      <c r="A96" s="762" t="s">
        <v>145</v>
      </c>
      <c r="B96" s="750"/>
      <c r="C96" s="763" t="s">
        <v>276</v>
      </c>
      <c r="D96" s="763" t="s">
        <v>277</v>
      </c>
      <c r="E96" s="763" t="s">
        <v>278</v>
      </c>
      <c r="F96" s="764" t="s">
        <v>283</v>
      </c>
      <c r="I96" s="36"/>
      <c r="J96" s="10"/>
      <c r="K96" s="10"/>
      <c r="L96" s="1088"/>
      <c r="M96" s="1079"/>
      <c r="N96" s="1089"/>
    </row>
    <row r="97" spans="1:14" ht="15" customHeight="1" thickBot="1">
      <c r="A97" s="665" t="s">
        <v>280</v>
      </c>
      <c r="B97" s="10"/>
      <c r="C97" s="1020">
        <f>193.05*1.03</f>
        <v>198.84150000000002</v>
      </c>
      <c r="D97" s="770">
        <f>C97*0.2</f>
        <v>39.768300000000011</v>
      </c>
      <c r="E97" s="771">
        <f t="shared" ref="E97:E102" si="10">C97*0.04</f>
        <v>7.9536600000000011</v>
      </c>
      <c r="F97" s="768">
        <f t="shared" ref="F97:F104" si="11">SUM(C97:E97)</f>
        <v>246.56346000000005</v>
      </c>
      <c r="I97" s="767"/>
      <c r="J97" s="750"/>
      <c r="K97" s="750"/>
      <c r="L97" s="1090"/>
      <c r="M97" s="1091"/>
      <c r="N97" s="1092"/>
    </row>
    <row r="98" spans="1:14" ht="15.75" thickBot="1">
      <c r="A98" s="36" t="s">
        <v>279</v>
      </c>
      <c r="B98" s="10"/>
      <c r="C98" s="771">
        <f>172.2*1.03</f>
        <v>177.36599999999999</v>
      </c>
      <c r="D98" s="770">
        <f t="shared" ref="D98:D104" si="12">C98*0.2</f>
        <v>35.473199999999999</v>
      </c>
      <c r="E98" s="771">
        <f t="shared" si="10"/>
        <v>7.0946399999999992</v>
      </c>
      <c r="F98" s="769">
        <f t="shared" si="11"/>
        <v>219.93383999999998</v>
      </c>
      <c r="I98" s="33" t="s">
        <v>412</v>
      </c>
      <c r="J98" s="16"/>
      <c r="K98" s="1021">
        <v>251.35</v>
      </c>
      <c r="L98" s="27" t="s">
        <v>433</v>
      </c>
    </row>
    <row r="99" spans="1:14">
      <c r="A99" s="36" t="s">
        <v>281</v>
      </c>
      <c r="B99" s="10"/>
      <c r="C99" s="771">
        <f>156.87*1.03</f>
        <v>161.5761</v>
      </c>
      <c r="D99" s="770">
        <f t="shared" si="12"/>
        <v>32.315220000000004</v>
      </c>
      <c r="E99" s="771">
        <f t="shared" si="10"/>
        <v>6.463044</v>
      </c>
      <c r="F99" s="769">
        <f t="shared" si="11"/>
        <v>200.354364</v>
      </c>
      <c r="I99" s="753" t="s">
        <v>292</v>
      </c>
      <c r="J99" s="754"/>
      <c r="K99" s="1016">
        <f>21.46*1.03^2</f>
        <v>22.766914</v>
      </c>
      <c r="L99" s="1086" t="s">
        <v>316</v>
      </c>
      <c r="M99" s="1078"/>
      <c r="N99" s="1087"/>
    </row>
    <row r="100" spans="1:14" ht="15.75" thickBot="1">
      <c r="A100" s="959" t="s">
        <v>282</v>
      </c>
      <c r="B100" s="10"/>
      <c r="C100" s="771">
        <f>250.47*1.03</f>
        <v>257.98410000000001</v>
      </c>
      <c r="D100" s="770">
        <f t="shared" si="12"/>
        <v>51.596820000000008</v>
      </c>
      <c r="E100" s="771">
        <f t="shared" si="10"/>
        <v>10.319364</v>
      </c>
      <c r="F100" s="769">
        <f t="shared" si="11"/>
        <v>319.900284</v>
      </c>
      <c r="I100" s="767"/>
      <c r="J100" s="750"/>
      <c r="K100" s="750"/>
      <c r="L100" s="1090"/>
      <c r="M100" s="1091"/>
      <c r="N100" s="1092"/>
    </row>
    <row r="101" spans="1:14" ht="15.75" thickBot="1">
      <c r="A101" s="959" t="s">
        <v>95</v>
      </c>
      <c r="B101" s="10"/>
      <c r="C101" s="771">
        <f>124.18*1.03</f>
        <v>127.90540000000001</v>
      </c>
      <c r="D101" s="770">
        <f t="shared" si="12"/>
        <v>25.581080000000004</v>
      </c>
      <c r="E101" s="771">
        <f t="shared" si="10"/>
        <v>5.1162160000000005</v>
      </c>
      <c r="F101" s="769">
        <f t="shared" si="11"/>
        <v>158.60269600000004</v>
      </c>
      <c r="I101" s="33" t="s">
        <v>217</v>
      </c>
      <c r="J101" s="16"/>
      <c r="K101" s="1022">
        <v>0.115</v>
      </c>
      <c r="L101" s="33" t="s">
        <v>317</v>
      </c>
      <c r="M101" s="16"/>
      <c r="N101" s="781"/>
    </row>
    <row r="102" spans="1:14" ht="15" customHeight="1">
      <c r="A102" s="959" t="s">
        <v>49</v>
      </c>
      <c r="B102" s="10"/>
      <c r="C102" s="771">
        <f>202.59*1.03</f>
        <v>208.6677</v>
      </c>
      <c r="D102" s="770">
        <f t="shared" si="12"/>
        <v>41.733540000000005</v>
      </c>
      <c r="E102" s="771">
        <f t="shared" si="10"/>
        <v>8.3467079999999996</v>
      </c>
      <c r="F102" s="769">
        <f t="shared" si="11"/>
        <v>258.74794800000001</v>
      </c>
      <c r="I102" s="753" t="s">
        <v>293</v>
      </c>
      <c r="J102" s="754"/>
      <c r="K102" s="1023">
        <v>20</v>
      </c>
      <c r="L102" s="1093" t="s">
        <v>405</v>
      </c>
      <c r="M102" s="1094"/>
      <c r="N102" s="1095"/>
    </row>
    <row r="103" spans="1:14">
      <c r="A103" s="959" t="s">
        <v>50</v>
      </c>
      <c r="B103" s="10"/>
      <c r="C103" s="771">
        <v>37.5</v>
      </c>
      <c r="D103" s="770">
        <f t="shared" si="12"/>
        <v>7.5</v>
      </c>
      <c r="E103" s="771">
        <f>C103*0.04</f>
        <v>1.5</v>
      </c>
      <c r="F103" s="769">
        <f t="shared" si="11"/>
        <v>46.5</v>
      </c>
      <c r="I103" s="36" t="s">
        <v>294</v>
      </c>
      <c r="J103" s="10"/>
      <c r="K103" s="1024">
        <v>30</v>
      </c>
      <c r="L103" s="1096"/>
      <c r="M103" s="1097"/>
      <c r="N103" s="1098"/>
    </row>
    <row r="104" spans="1:14" ht="15" customHeight="1" thickBot="1">
      <c r="A104" s="975" t="s">
        <v>443</v>
      </c>
      <c r="B104" s="750"/>
      <c r="C104" s="774">
        <f>121.65*1.03</f>
        <v>125.29950000000001</v>
      </c>
      <c r="D104" s="773">
        <f t="shared" si="12"/>
        <v>25.059900000000003</v>
      </c>
      <c r="E104" s="774">
        <f>C104*0.04</f>
        <v>5.0119800000000003</v>
      </c>
      <c r="F104" s="775">
        <f t="shared" si="11"/>
        <v>155.37138000000002</v>
      </c>
      <c r="I104" s="36" t="s">
        <v>295</v>
      </c>
      <c r="J104" s="10"/>
      <c r="K104" s="1024">
        <v>15</v>
      </c>
      <c r="L104" s="1096"/>
      <c r="M104" s="1097"/>
      <c r="N104" s="1098"/>
    </row>
    <row r="105" spans="1:14" ht="15.75" thickBot="1">
      <c r="A105" s="776" t="s">
        <v>318</v>
      </c>
      <c r="I105" s="767" t="s">
        <v>218</v>
      </c>
      <c r="J105" s="750"/>
      <c r="K105" s="1025">
        <v>0.05</v>
      </c>
      <c r="L105" s="1099"/>
      <c r="M105" s="1100"/>
      <c r="N105" s="1101"/>
    </row>
    <row r="106" spans="1:14">
      <c r="A106" s="21" t="s">
        <v>429</v>
      </c>
      <c r="I106" s="753" t="s">
        <v>296</v>
      </c>
      <c r="J106" s="754"/>
      <c r="K106" s="1016">
        <v>110</v>
      </c>
      <c r="L106" s="1102" t="s">
        <v>448</v>
      </c>
      <c r="M106" s="1103"/>
      <c r="N106" s="1104"/>
    </row>
    <row r="107" spans="1:14">
      <c r="A107" s="21" t="s">
        <v>284</v>
      </c>
      <c r="I107" s="36" t="s">
        <v>297</v>
      </c>
      <c r="J107" s="10"/>
      <c r="K107" s="1026">
        <v>0.67</v>
      </c>
      <c r="L107" s="1105"/>
      <c r="M107" s="1106"/>
      <c r="N107" s="1107"/>
    </row>
    <row r="108" spans="1:14" ht="15.75" thickBot="1">
      <c r="A108" s="784" t="s">
        <v>305</v>
      </c>
      <c r="B108" s="784"/>
      <c r="C108" s="784"/>
      <c r="D108" s="784"/>
      <c r="E108" s="784"/>
      <c r="F108" s="784"/>
      <c r="I108" s="767" t="s">
        <v>298</v>
      </c>
      <c r="J108" s="750"/>
      <c r="K108" s="1027">
        <v>0.35</v>
      </c>
      <c r="L108" s="1108"/>
      <c r="M108" s="1109"/>
      <c r="N108" s="1110"/>
    </row>
    <row r="109" spans="1:14">
      <c r="A109" s="21" t="s">
        <v>304</v>
      </c>
      <c r="I109" s="753" t="s">
        <v>328</v>
      </c>
      <c r="J109" s="754"/>
      <c r="K109" s="1028">
        <v>7</v>
      </c>
      <c r="L109" s="753" t="s">
        <v>404</v>
      </c>
      <c r="M109" s="754"/>
      <c r="N109" s="778"/>
    </row>
    <row r="110" spans="1:14" ht="15.75" thickBot="1">
      <c r="I110" s="767" t="s">
        <v>219</v>
      </c>
      <c r="J110" s="750"/>
      <c r="K110" s="1029">
        <v>7.0000000000000007E-2</v>
      </c>
      <c r="L110" s="767"/>
      <c r="M110" s="750"/>
      <c r="N110" s="847"/>
    </row>
    <row r="111" spans="1:14" ht="16.5" thickBot="1">
      <c r="B111" s="1075" t="s">
        <v>236</v>
      </c>
      <c r="C111" s="1076"/>
      <c r="D111" s="1076"/>
      <c r="E111" s="1076"/>
      <c r="F111" s="1077"/>
      <c r="I111" s="753" t="s">
        <v>400</v>
      </c>
      <c r="J111" s="754"/>
      <c r="K111" s="1030">
        <v>200</v>
      </c>
      <c r="L111" s="36" t="s">
        <v>401</v>
      </c>
      <c r="M111" s="10"/>
      <c r="N111" s="926"/>
    </row>
    <row r="112" spans="1:14" ht="16.5" thickBot="1">
      <c r="B112" s="786"/>
      <c r="C112" s="760" t="s">
        <v>453</v>
      </c>
      <c r="D112" s="760" t="s">
        <v>224</v>
      </c>
      <c r="E112" s="787" t="s">
        <v>225</v>
      </c>
      <c r="F112" s="761" t="s">
        <v>200</v>
      </c>
      <c r="I112" s="767" t="s">
        <v>402</v>
      </c>
      <c r="J112" s="750"/>
      <c r="K112" s="1031">
        <v>3</v>
      </c>
      <c r="L112" s="36"/>
      <c r="M112" s="10"/>
      <c r="N112" s="926"/>
    </row>
    <row r="113" spans="2:14" ht="15" customHeight="1" thickBot="1">
      <c r="B113" s="762" t="s">
        <v>221</v>
      </c>
      <c r="C113" s="763" t="s">
        <v>223</v>
      </c>
      <c r="D113" s="763" t="s">
        <v>200</v>
      </c>
      <c r="E113" s="788" t="s">
        <v>109</v>
      </c>
      <c r="F113" s="764" t="s">
        <v>204</v>
      </c>
      <c r="G113" s="916"/>
      <c r="I113" s="753" t="s">
        <v>299</v>
      </c>
      <c r="J113" s="754"/>
      <c r="K113" s="1032">
        <v>0.06</v>
      </c>
      <c r="L113" s="1111" t="s">
        <v>447</v>
      </c>
      <c r="M113" s="1112"/>
      <c r="N113" s="1113"/>
    </row>
    <row r="114" spans="2:14" ht="15.75">
      <c r="B114" s="789" t="s">
        <v>226</v>
      </c>
      <c r="C114" s="790" t="s">
        <v>454</v>
      </c>
      <c r="D114" s="919">
        <f>'Land Values'!D8</f>
        <v>112875000</v>
      </c>
      <c r="E114" s="1035">
        <v>936540</v>
      </c>
      <c r="F114" s="793">
        <f>D114/E114</f>
        <v>120.52341597796143</v>
      </c>
      <c r="G114" s="917"/>
      <c r="I114" s="36" t="s">
        <v>300</v>
      </c>
      <c r="J114" s="10"/>
      <c r="K114" s="1033">
        <v>6.2E-2</v>
      </c>
      <c r="L114" s="1114"/>
      <c r="M114" s="1115"/>
      <c r="N114" s="1116"/>
    </row>
    <row r="115" spans="2:14" ht="15.75">
      <c r="B115" s="789" t="s">
        <v>227</v>
      </c>
      <c r="C115" s="790" t="s">
        <v>452</v>
      </c>
      <c r="D115" s="920">
        <f>'Land Values'!D12</f>
        <v>14175000</v>
      </c>
      <c r="E115" s="1035">
        <v>117612</v>
      </c>
      <c r="F115" s="795">
        <f t="shared" ref="F115" si="13">D115/E115</f>
        <v>120.52341597796143</v>
      </c>
      <c r="G115" s="917"/>
      <c r="I115" s="36" t="s">
        <v>301</v>
      </c>
      <c r="J115" s="10"/>
      <c r="K115" s="1033">
        <v>6.2E-2</v>
      </c>
      <c r="L115" s="1114"/>
      <c r="M115" s="1115"/>
      <c r="N115" s="1116"/>
    </row>
    <row r="116" spans="2:14">
      <c r="B116" s="789" t="s">
        <v>228</v>
      </c>
      <c r="C116" s="790" t="s">
        <v>452</v>
      </c>
      <c r="D116" s="920">
        <f>'Land Values'!D16</f>
        <v>34125000</v>
      </c>
      <c r="E116" s="1035">
        <v>283140</v>
      </c>
      <c r="F116" s="795">
        <f>D116/E116</f>
        <v>120.52341597796143</v>
      </c>
      <c r="G116" s="919"/>
      <c r="I116" s="36" t="s">
        <v>302</v>
      </c>
      <c r="J116" s="10"/>
      <c r="K116" s="1033">
        <v>0.08</v>
      </c>
      <c r="L116" s="1114"/>
      <c r="M116" s="1115"/>
      <c r="N116" s="1116"/>
    </row>
    <row r="117" spans="2:14">
      <c r="B117" s="789" t="s">
        <v>396</v>
      </c>
      <c r="C117" s="790" t="s">
        <v>454</v>
      </c>
      <c r="D117" s="920">
        <f>'Land Values'!D21</f>
        <v>51473913.050964192</v>
      </c>
      <c r="E117" s="1035">
        <f>'Land Values'!E21</f>
        <v>414647</v>
      </c>
      <c r="F117" s="795">
        <f>D117/E117</f>
        <v>124.13911845730028</v>
      </c>
      <c r="G117" s="920"/>
      <c r="I117" s="36" t="s">
        <v>327</v>
      </c>
      <c r="J117" s="10"/>
      <c r="K117" s="1033">
        <v>6.9000000000000006E-2</v>
      </c>
      <c r="L117" s="833"/>
      <c r="M117" s="834"/>
      <c r="N117" s="835"/>
    </row>
    <row r="118" spans="2:14" ht="15.75" thickBot="1">
      <c r="B118" s="789"/>
      <c r="C118" s="790"/>
      <c r="D118" s="920"/>
      <c r="E118" s="1035"/>
      <c r="F118" s="795"/>
      <c r="G118" s="920"/>
      <c r="I118" s="767" t="s">
        <v>303</v>
      </c>
      <c r="J118" s="750"/>
      <c r="K118" s="1034">
        <v>0.11</v>
      </c>
      <c r="L118" s="767"/>
      <c r="M118" s="750"/>
      <c r="N118" s="847"/>
    </row>
    <row r="119" spans="2:14" ht="16.5" thickBot="1">
      <c r="B119" s="762" t="s">
        <v>32</v>
      </c>
      <c r="C119" s="796"/>
      <c r="D119" s="797">
        <f>SUM(D114:D118)</f>
        <v>212648913.05096418</v>
      </c>
      <c r="E119" s="798">
        <f>SUM(E114:E118)</f>
        <v>1751939</v>
      </c>
      <c r="F119" s="800">
        <f>K135/E119</f>
        <v>0</v>
      </c>
      <c r="G119" s="920"/>
      <c r="I119" s="1078" t="s">
        <v>310</v>
      </c>
      <c r="J119" s="1078"/>
      <c r="K119" s="1078"/>
      <c r="L119" s="1078"/>
      <c r="M119" s="1078"/>
      <c r="N119" s="1078"/>
    </row>
    <row r="120" spans="2:14">
      <c r="B120" s="902" t="s">
        <v>395</v>
      </c>
      <c r="C120" s="903"/>
      <c r="D120" s="1036"/>
      <c r="E120" s="1037"/>
      <c r="F120" s="1037"/>
      <c r="G120" s="920"/>
      <c r="I120" s="1079"/>
      <c r="J120" s="1079"/>
      <c r="K120" s="1079"/>
      <c r="L120" s="1079"/>
      <c r="M120" s="1079"/>
      <c r="N120" s="1079"/>
    </row>
    <row r="121" spans="2:14" ht="15.75">
      <c r="B121" s="902" t="s">
        <v>397</v>
      </c>
      <c r="C121" s="903"/>
      <c r="D121" s="1036"/>
      <c r="E121" s="1037"/>
      <c r="F121" s="1037"/>
      <c r="G121" s="918"/>
      <c r="H121" s="916"/>
    </row>
    <row r="122" spans="2:14" ht="16.5" thickBot="1">
      <c r="B122" s="39"/>
      <c r="C122" s="61"/>
      <c r="D122" s="1038"/>
      <c r="E122" s="1039"/>
      <c r="F122" s="1039"/>
      <c r="G122" s="802"/>
      <c r="H122" s="917"/>
    </row>
    <row r="123" spans="2:14" ht="16.5" thickBot="1">
      <c r="B123" s="1040" t="s">
        <v>230</v>
      </c>
      <c r="C123" s="1041"/>
      <c r="D123" s="1042"/>
      <c r="E123" s="1043"/>
      <c r="F123" s="1044"/>
      <c r="G123" s="802"/>
      <c r="H123" s="917"/>
    </row>
    <row r="124" spans="2:14">
      <c r="B124" s="906" t="s">
        <v>84</v>
      </c>
      <c r="C124" s="907"/>
      <c r="D124" s="1045"/>
      <c r="E124" s="1046"/>
      <c r="F124" s="1047">
        <f>'Land Acquisition'!D7</f>
        <v>1351187</v>
      </c>
      <c r="G124" s="1038"/>
      <c r="H124" s="919"/>
    </row>
    <row r="125" spans="2:14">
      <c r="B125" s="808" t="s">
        <v>320</v>
      </c>
      <c r="C125" s="809"/>
      <c r="D125" s="809"/>
      <c r="E125" s="809"/>
      <c r="F125" s="1048">
        <v>0</v>
      </c>
      <c r="H125" s="920"/>
    </row>
    <row r="126" spans="2:14" ht="15.75">
      <c r="B126" s="811" t="s">
        <v>232</v>
      </c>
      <c r="C126" s="812"/>
      <c r="D126" s="812"/>
      <c r="E126" s="812"/>
      <c r="F126" s="813">
        <f>SUM(F124:F125)</f>
        <v>1351187</v>
      </c>
      <c r="H126" s="920"/>
    </row>
    <row r="127" spans="2:14">
      <c r="B127" s="808" t="s">
        <v>450</v>
      </c>
      <c r="C127" s="809"/>
      <c r="D127" s="809"/>
      <c r="E127" s="817" t="s">
        <v>233</v>
      </c>
      <c r="F127" s="1049">
        <v>2</v>
      </c>
      <c r="H127" s="920"/>
      <c r="I127" s="916"/>
      <c r="J127" s="916"/>
      <c r="K127" s="916"/>
      <c r="L127" s="916"/>
      <c r="M127" s="10"/>
    </row>
    <row r="128" spans="2:14" ht="19.5" thickBot="1">
      <c r="B128" s="762" t="s">
        <v>306</v>
      </c>
      <c r="C128" s="815"/>
      <c r="D128" s="815"/>
      <c r="E128" s="815"/>
      <c r="F128" s="799">
        <f>F126*F127</f>
        <v>2702374</v>
      </c>
      <c r="H128" s="920"/>
      <c r="I128" s="917"/>
      <c r="J128" s="917"/>
      <c r="K128" s="917"/>
      <c r="L128" s="10"/>
    </row>
    <row r="129" spans="2:12" ht="15.75">
      <c r="B129" s="776" t="s">
        <v>403</v>
      </c>
      <c r="C129" s="776"/>
      <c r="D129" s="776"/>
      <c r="E129" s="776"/>
      <c r="F129" s="776"/>
      <c r="H129" s="918"/>
      <c r="I129" s="917"/>
      <c r="J129" s="917"/>
      <c r="K129" s="917"/>
      <c r="L129" s="10"/>
    </row>
    <row r="130" spans="2:12">
      <c r="H130" s="802"/>
      <c r="I130" s="919"/>
      <c r="J130" s="919"/>
      <c r="K130" s="919"/>
      <c r="L130" s="10"/>
    </row>
    <row r="131" spans="2:12">
      <c r="G131" s="39"/>
      <c r="H131" s="802"/>
      <c r="I131" s="920"/>
      <c r="J131" s="920"/>
      <c r="K131" s="920"/>
      <c r="L131" s="10"/>
    </row>
    <row r="132" spans="2:12">
      <c r="H132" s="1038"/>
      <c r="I132" s="920"/>
      <c r="J132" s="920"/>
      <c r="K132" s="920"/>
      <c r="L132" s="10"/>
    </row>
    <row r="133" spans="2:12">
      <c r="H133" s="1038"/>
      <c r="I133" s="920"/>
      <c r="J133" s="920"/>
      <c r="K133" s="920"/>
      <c r="L133" s="10"/>
    </row>
    <row r="134" spans="2:12">
      <c r="H134" s="1038"/>
      <c r="I134" s="920"/>
      <c r="J134" s="920"/>
      <c r="K134" s="920"/>
      <c r="L134" s="10"/>
    </row>
    <row r="135" spans="2:12" ht="15.75">
      <c r="H135" s="39"/>
      <c r="I135" s="918"/>
      <c r="J135" s="918"/>
      <c r="K135" s="918"/>
      <c r="L135" s="10"/>
    </row>
    <row r="136" spans="2:12">
      <c r="H136" s="39"/>
      <c r="I136" s="802"/>
      <c r="J136" s="802"/>
      <c r="K136" s="802"/>
      <c r="L136" s="803"/>
    </row>
    <row r="137" spans="2:12">
      <c r="H137" s="39"/>
      <c r="I137" s="802"/>
      <c r="J137" s="802"/>
      <c r="K137" s="802"/>
      <c r="L137" s="803"/>
    </row>
    <row r="138" spans="2:12">
      <c r="H138" s="39"/>
      <c r="I138" s="1038"/>
      <c r="J138" s="1038"/>
      <c r="K138" s="1038"/>
      <c r="L138" s="1050"/>
    </row>
    <row r="139" spans="2:12">
      <c r="H139" s="39"/>
      <c r="I139" s="1038"/>
      <c r="J139" s="1038"/>
      <c r="K139" s="1038"/>
      <c r="L139" s="1050"/>
    </row>
    <row r="140" spans="2:12">
      <c r="I140" s="1038"/>
      <c r="J140" s="1038"/>
      <c r="K140" s="1038"/>
      <c r="L140" s="1050"/>
    </row>
    <row r="141" spans="2:12">
      <c r="I141" s="39"/>
      <c r="J141" s="39"/>
      <c r="K141" s="39"/>
      <c r="L141" s="39"/>
    </row>
    <row r="142" spans="2:12">
      <c r="I142" s="39"/>
      <c r="J142" s="39"/>
      <c r="K142" s="39"/>
      <c r="L142" s="39"/>
    </row>
    <row r="143" spans="2:12">
      <c r="I143" s="39"/>
      <c r="J143" s="39"/>
      <c r="K143" s="39"/>
      <c r="L143" s="39"/>
    </row>
    <row r="144" spans="2:12">
      <c r="I144" s="39"/>
      <c r="J144" s="39"/>
      <c r="K144" s="39"/>
      <c r="L144" s="39"/>
    </row>
    <row r="145" spans="9:12">
      <c r="I145" s="39"/>
      <c r="J145" s="39"/>
      <c r="K145" s="39"/>
      <c r="L145" s="39"/>
    </row>
  </sheetData>
  <mergeCells count="8">
    <mergeCell ref="B111:F111"/>
    <mergeCell ref="I119:N120"/>
    <mergeCell ref="L91:N92"/>
    <mergeCell ref="L95:N97"/>
    <mergeCell ref="L99:N100"/>
    <mergeCell ref="L102:N105"/>
    <mergeCell ref="L106:N108"/>
    <mergeCell ref="L113:N116"/>
  </mergeCells>
  <pageMargins left="0.19791666666666699" right="0.25" top="0.75" bottom="0.75" header="0.3" footer="0.3"/>
  <pageSetup paperSize="17" scale="32" orientation="portrait" r:id="rId1"/>
  <headerFooter alignWithMargins="0">
    <oddHeader xml:space="preserve">&amp;L&amp;"Arial,Bold"2013 ULI Hines Student Urban Design Competition&amp;RTeam &amp;A 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topLeftCell="A13" zoomScale="60" zoomScaleNormal="100" workbookViewId="0">
      <selection activeCell="G53" sqref="G53"/>
    </sheetView>
  </sheetViews>
  <sheetFormatPr defaultColWidth="9.140625" defaultRowHeight="12.75"/>
  <cols>
    <col min="1" max="1" width="23.140625" style="107" customWidth="1"/>
    <col min="2" max="2" width="12.7109375" style="108" customWidth="1"/>
    <col min="3" max="3" width="16.42578125" style="108" customWidth="1"/>
    <col min="4" max="4" width="17.140625" style="107" customWidth="1"/>
    <col min="5" max="6" width="16" style="107" customWidth="1"/>
    <col min="7" max="8" width="16.42578125" style="107" customWidth="1"/>
    <col min="9" max="9" width="16" style="107" customWidth="1"/>
    <col min="10" max="10" width="15.28515625" style="107" customWidth="1"/>
    <col min="11" max="11" width="16.7109375" style="107" customWidth="1"/>
    <col min="12" max="13" width="16.42578125" style="107" customWidth="1"/>
    <col min="14" max="16384" width="9.140625" style="107"/>
  </cols>
  <sheetData>
    <row r="1" spans="1:13" ht="14.1" customHeight="1" thickBot="1">
      <c r="A1" s="39"/>
      <c r="B1" s="61"/>
      <c r="C1" s="6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3" ht="14.1" customHeight="1" thickBot="1">
      <c r="A2" s="39"/>
      <c r="B2" s="61"/>
      <c r="C2" s="61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4.1" customHeight="1" thickBot="1">
      <c r="A3" s="139"/>
      <c r="B3" s="222"/>
      <c r="C3" s="49" t="s">
        <v>58</v>
      </c>
      <c r="D3" s="114" t="s">
        <v>37</v>
      </c>
      <c r="E3" s="115"/>
      <c r="F3" s="46"/>
      <c r="G3" s="114" t="s">
        <v>80</v>
      </c>
      <c r="H3" s="160"/>
      <c r="I3" s="46"/>
      <c r="J3" s="44" t="s">
        <v>81</v>
      </c>
      <c r="K3" s="44"/>
      <c r="L3" s="45"/>
      <c r="M3" s="46"/>
    </row>
    <row r="4" spans="1:13" ht="14.1" customHeight="1" thickBot="1">
      <c r="A4" s="67"/>
      <c r="B4" s="68"/>
      <c r="C4" s="311">
        <v>0</v>
      </c>
      <c r="D4" s="112">
        <f>C4+1</f>
        <v>1</v>
      </c>
      <c r="E4" s="111">
        <f t="shared" ref="E4:M5" si="0">D4+1</f>
        <v>2</v>
      </c>
      <c r="F4" s="113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1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13" ht="14.1" customHeight="1" thickBot="1">
      <c r="A5" s="70"/>
      <c r="B5" s="152"/>
      <c r="C5" s="311" t="s">
        <v>311</v>
      </c>
      <c r="D5" s="300">
        <v>2019</v>
      </c>
      <c r="E5" s="111">
        <f>D5+1</f>
        <v>2020</v>
      </c>
      <c r="F5" s="113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1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</row>
    <row r="6" spans="1:13" ht="13.5" thickBot="1">
      <c r="A6" s="217" t="s">
        <v>10</v>
      </c>
      <c r="B6" s="214"/>
      <c r="C6" s="223"/>
      <c r="D6" s="226"/>
      <c r="E6" s="215"/>
      <c r="F6" s="216"/>
      <c r="G6" s="226"/>
      <c r="H6" s="215"/>
      <c r="I6" s="216"/>
      <c r="J6" s="215"/>
      <c r="K6" s="215"/>
      <c r="L6" s="215"/>
      <c r="M6" s="216"/>
    </row>
    <row r="7" spans="1:13">
      <c r="A7" s="344" t="s">
        <v>37</v>
      </c>
      <c r="B7" s="222"/>
      <c r="C7" s="345"/>
      <c r="D7" s="139"/>
      <c r="E7" s="346"/>
      <c r="F7" s="347"/>
      <c r="G7" s="139"/>
      <c r="H7" s="346"/>
      <c r="I7" s="347"/>
      <c r="J7" s="346"/>
      <c r="K7" s="346"/>
      <c r="L7" s="346"/>
      <c r="M7" s="347"/>
    </row>
    <row r="8" spans="1:13" ht="14.1" customHeight="1">
      <c r="A8" s="192" t="s">
        <v>11</v>
      </c>
      <c r="B8" s="138">
        <v>0.03</v>
      </c>
      <c r="C8" s="146"/>
      <c r="D8" s="149"/>
      <c r="E8" s="117"/>
      <c r="F8" s="121"/>
      <c r="G8" s="149"/>
      <c r="H8" s="117"/>
      <c r="I8" s="121"/>
      <c r="J8" s="117"/>
      <c r="K8" s="117"/>
      <c r="L8" s="117"/>
      <c r="M8" s="121"/>
    </row>
    <row r="9" spans="1:13" ht="14.1" customHeight="1">
      <c r="A9" s="192" t="s">
        <v>112</v>
      </c>
      <c r="B9" s="138"/>
      <c r="C9" s="146"/>
      <c r="D9" s="227">
        <f>ROUND(('Development Schedule'!E13)/$B$21,0)</f>
        <v>10</v>
      </c>
      <c r="E9" s="204">
        <f>ROUND(('Development Schedule'!F13)/$B$21,0)</f>
        <v>0</v>
      </c>
      <c r="F9" s="206">
        <f>ROUND(('Development Schedule'!G13)/$B$21,0)</f>
        <v>0</v>
      </c>
      <c r="G9" s="227">
        <f>ROUND(('Development Schedule'!H13)/$B$21,0)</f>
        <v>0</v>
      </c>
      <c r="H9" s="204">
        <f>ROUND(('Development Schedule'!I13)/$B$21,0)</f>
        <v>0</v>
      </c>
      <c r="I9" s="206">
        <f>ROUND(('Development Schedule'!J13)/$B$21,0)</f>
        <v>0</v>
      </c>
      <c r="J9" s="204">
        <f>ROUND(('Development Schedule'!K13)/$B$21,0)</f>
        <v>0</v>
      </c>
      <c r="K9" s="204">
        <f>ROUND(('Development Schedule'!L13)/$B$21,0)</f>
        <v>0</v>
      </c>
      <c r="L9" s="204">
        <f>ROUND(('Development Schedule'!M13)/$B$21,0)</f>
        <v>0</v>
      </c>
      <c r="M9" s="206">
        <f>ROUND(('Development Schedule'!N13)/$B$21,0)</f>
        <v>0</v>
      </c>
    </row>
    <row r="10" spans="1:13" ht="14.1" customHeight="1">
      <c r="A10" s="192" t="s">
        <v>124</v>
      </c>
      <c r="B10" s="138"/>
      <c r="C10" s="146"/>
      <c r="D10" s="317">
        <v>0</v>
      </c>
      <c r="E10" s="301">
        <f>ROUNDUP($C$53/3,0)</f>
        <v>4</v>
      </c>
      <c r="F10" s="301">
        <f>ROUNDDOWN($C$53/3,0)</f>
        <v>3</v>
      </c>
      <c r="G10" s="301">
        <f>ROUNDDOWN($C$53/3,0)</f>
        <v>3</v>
      </c>
      <c r="H10" s="301">
        <v>0</v>
      </c>
      <c r="I10" s="305">
        <v>0</v>
      </c>
      <c r="J10" s="301">
        <f>C45-SUM(H10:I10)</f>
        <v>0</v>
      </c>
      <c r="K10" s="302">
        <v>0</v>
      </c>
      <c r="L10" s="301">
        <f>K10</f>
        <v>0</v>
      </c>
      <c r="M10" s="305">
        <f>L10</f>
        <v>0</v>
      </c>
    </row>
    <row r="11" spans="1:13" ht="13.5" customHeight="1">
      <c r="A11" s="192" t="s">
        <v>125</v>
      </c>
      <c r="B11" s="68"/>
      <c r="C11" s="147"/>
      <c r="D11" s="318">
        <f>SUM($D10:D$10)</f>
        <v>0</v>
      </c>
      <c r="E11" s="301">
        <f>SUM($D10:E$10)</f>
        <v>4</v>
      </c>
      <c r="F11" s="305">
        <f>SUM($D10:F$10)</f>
        <v>7</v>
      </c>
      <c r="G11" s="318">
        <f>SUM($D10:G$10)</f>
        <v>10</v>
      </c>
      <c r="H11" s="301">
        <f>SUM($D10:H$10)</f>
        <v>10</v>
      </c>
      <c r="I11" s="305">
        <f>SUM($D10:I$10)</f>
        <v>10</v>
      </c>
      <c r="J11" s="301">
        <f>SUM($D10:J$10)</f>
        <v>10</v>
      </c>
      <c r="K11" s="301">
        <f>SUM($D10:K$10)</f>
        <v>10</v>
      </c>
      <c r="L11" s="301">
        <f>SUM($D10:L$10)</f>
        <v>10</v>
      </c>
      <c r="M11" s="305">
        <f>SUM($D10:M$10)</f>
        <v>10</v>
      </c>
    </row>
    <row r="12" spans="1:13" ht="14.1" customHeight="1">
      <c r="A12" s="192" t="s">
        <v>39</v>
      </c>
      <c r="B12" s="62">
        <v>1000</v>
      </c>
      <c r="C12" s="147"/>
      <c r="D12" s="229"/>
      <c r="E12" s="118"/>
      <c r="F12" s="207"/>
      <c r="G12" s="229"/>
      <c r="H12" s="118"/>
      <c r="I12" s="207"/>
      <c r="J12" s="118"/>
      <c r="K12" s="118"/>
      <c r="L12" s="118"/>
      <c r="M12" s="207"/>
    </row>
    <row r="13" spans="1:13" ht="14.1" customHeight="1">
      <c r="A13" s="192" t="s">
        <v>42</v>
      </c>
      <c r="B13" s="68"/>
      <c r="C13" s="147"/>
      <c r="D13" s="319">
        <f>SUM($D9:D$9)*$B$21</f>
        <v>10000</v>
      </c>
      <c r="E13" s="303">
        <f>SUM($D9:E$9)*$B$21</f>
        <v>10000</v>
      </c>
      <c r="F13" s="306">
        <f>SUM($D9:F$9)*$B$21</f>
        <v>10000</v>
      </c>
      <c r="G13" s="319">
        <f>SUM($D9:G$9)*$B$21</f>
        <v>10000</v>
      </c>
      <c r="H13" s="303">
        <f>SUM($D9:H$9)*$B$21</f>
        <v>10000</v>
      </c>
      <c r="I13" s="306">
        <f>SUM($D9:I$9)*$B$21</f>
        <v>10000</v>
      </c>
      <c r="J13" s="303">
        <f>SUM($D9:J$9)*$B$21</f>
        <v>10000</v>
      </c>
      <c r="K13" s="303">
        <f>SUM($D9:K$9)*$B$21</f>
        <v>10000</v>
      </c>
      <c r="L13" s="303">
        <f>SUM($D9:L$9)*$B$21</f>
        <v>10000</v>
      </c>
      <c r="M13" s="306">
        <f>SUM($D9:M$9)*$B$21</f>
        <v>10000</v>
      </c>
    </row>
    <row r="14" spans="1:13" ht="20.45" customHeight="1" thickBot="1">
      <c r="A14" s="150" t="s">
        <v>126</v>
      </c>
      <c r="B14" s="71"/>
      <c r="C14" s="310">
        <f>'Summary Board'!K106</f>
        <v>251.35</v>
      </c>
      <c r="D14" s="320">
        <f t="shared" ref="D14:M14" si="1">$C14*(1+$B$17)^D$4</f>
        <v>258.89049999999997</v>
      </c>
      <c r="E14" s="307">
        <f t="shared" si="1"/>
        <v>266.65721500000001</v>
      </c>
      <c r="F14" s="308">
        <f t="shared" si="1"/>
        <v>274.65693145</v>
      </c>
      <c r="G14" s="320">
        <f t="shared" si="1"/>
        <v>282.89663939349998</v>
      </c>
      <c r="H14" s="307">
        <f t="shared" si="1"/>
        <v>291.38353857530495</v>
      </c>
      <c r="I14" s="308">
        <f t="shared" si="1"/>
        <v>300.12504473256411</v>
      </c>
      <c r="J14" s="307">
        <f t="shared" si="1"/>
        <v>309.12879607454107</v>
      </c>
      <c r="K14" s="307">
        <f t="shared" si="1"/>
        <v>318.40265995677726</v>
      </c>
      <c r="L14" s="307">
        <f t="shared" si="1"/>
        <v>327.9547397554806</v>
      </c>
      <c r="M14" s="308">
        <f t="shared" si="1"/>
        <v>337.793381948145</v>
      </c>
    </row>
    <row r="15" spans="1:13" ht="4.1500000000000004" customHeight="1" thickBot="1">
      <c r="A15" s="192"/>
      <c r="B15" s="68"/>
      <c r="C15" s="239"/>
      <c r="D15" s="231"/>
      <c r="E15" s="218"/>
      <c r="F15" s="219"/>
      <c r="G15" s="231"/>
      <c r="H15" s="218"/>
      <c r="I15" s="219"/>
      <c r="J15" s="218"/>
      <c r="K15" s="218"/>
      <c r="L15" s="218"/>
      <c r="M15" s="219"/>
    </row>
    <row r="16" spans="1:13">
      <c r="A16" s="344" t="s">
        <v>80</v>
      </c>
      <c r="B16" s="222"/>
      <c r="C16" s="345"/>
      <c r="D16" s="139"/>
      <c r="E16" s="346"/>
      <c r="F16" s="347"/>
      <c r="G16" s="139"/>
      <c r="H16" s="346"/>
      <c r="I16" s="347"/>
      <c r="J16" s="346"/>
      <c r="K16" s="346"/>
      <c r="L16" s="346"/>
      <c r="M16" s="347"/>
    </row>
    <row r="17" spans="1:13" ht="14.1" customHeight="1">
      <c r="A17" s="192" t="s">
        <v>11</v>
      </c>
      <c r="B17" s="138">
        <v>0.03</v>
      </c>
      <c r="C17" s="146"/>
      <c r="D17" s="149"/>
      <c r="E17" s="117"/>
      <c r="F17" s="121"/>
      <c r="G17" s="149"/>
      <c r="H17" s="117"/>
      <c r="I17" s="121"/>
      <c r="J17" s="117"/>
      <c r="K17" s="117"/>
      <c r="L17" s="117"/>
      <c r="M17" s="121"/>
    </row>
    <row r="18" spans="1:13" ht="14.1" customHeight="1">
      <c r="A18" s="192" t="s">
        <v>112</v>
      </c>
      <c r="B18" s="138"/>
      <c r="C18" s="146"/>
      <c r="D18" s="227">
        <f>ROUND(('Development Schedule'!E41)/$B$21,0)</f>
        <v>0</v>
      </c>
      <c r="E18" s="204">
        <f>ROUND(('Development Schedule'!F41)/$B$21,0)</f>
        <v>0</v>
      </c>
      <c r="F18" s="206">
        <f>ROUND(('Development Schedule'!G41)/$B$21,0)</f>
        <v>0</v>
      </c>
      <c r="G18" s="227">
        <f>ROUND(('Development Schedule'!H41)/$B$21,0)</f>
        <v>0</v>
      </c>
      <c r="H18" s="204">
        <f>ROUND(('Development Schedule'!I41)/$B$21,0)</f>
        <v>10</v>
      </c>
      <c r="I18" s="206">
        <f>ROUND(('Development Schedule'!J41)/$B$21,0)</f>
        <v>5</v>
      </c>
      <c r="J18" s="204">
        <f>ROUND(('Development Schedule'!K41)/$B$21,0)</f>
        <v>0</v>
      </c>
      <c r="K18" s="204">
        <f>ROUND(('Development Schedule'!L41)/$B$21,0)</f>
        <v>0</v>
      </c>
      <c r="L18" s="204">
        <f>ROUND(('Development Schedule'!M41)/$B$21,0)</f>
        <v>0</v>
      </c>
      <c r="M18" s="206">
        <f>ROUND(('Development Schedule'!N41)/$B$21,0)</f>
        <v>0</v>
      </c>
    </row>
    <row r="19" spans="1:13" ht="14.1" customHeight="1">
      <c r="A19" s="192" t="s">
        <v>124</v>
      </c>
      <c r="B19" s="138"/>
      <c r="C19" s="146"/>
      <c r="D19" s="317">
        <v>0</v>
      </c>
      <c r="E19" s="301">
        <f>D19</f>
        <v>0</v>
      </c>
      <c r="F19" s="305">
        <f>E19</f>
        <v>0</v>
      </c>
      <c r="G19" s="318">
        <f>F19</f>
        <v>0</v>
      </c>
      <c r="H19" s="301">
        <f>ROUND($C$54/3,0)</f>
        <v>5</v>
      </c>
      <c r="I19" s="305">
        <f>ROUND($C$54/3,0)</f>
        <v>5</v>
      </c>
      <c r="J19" s="301">
        <f>C54-SUM(H19:I19)</f>
        <v>5</v>
      </c>
      <c r="K19" s="302">
        <v>0</v>
      </c>
      <c r="L19" s="301">
        <f>K19</f>
        <v>0</v>
      </c>
      <c r="M19" s="305">
        <f>L19</f>
        <v>0</v>
      </c>
    </row>
    <row r="20" spans="1:13" ht="13.5" customHeight="1">
      <c r="A20" s="192" t="s">
        <v>125</v>
      </c>
      <c r="B20" s="68"/>
      <c r="C20" s="147"/>
      <c r="D20" s="318">
        <f>SUM($D$19:D19)</f>
        <v>0</v>
      </c>
      <c r="E20" s="301">
        <f>SUM($D$19:E19)</f>
        <v>0</v>
      </c>
      <c r="F20" s="305">
        <f>SUM($D$19:F19)</f>
        <v>0</v>
      </c>
      <c r="G20" s="318">
        <f>SUM($D$19:G19)</f>
        <v>0</v>
      </c>
      <c r="H20" s="301">
        <f>SUM($D$19:H19)</f>
        <v>5</v>
      </c>
      <c r="I20" s="305">
        <f>SUM($D$19:I19)</f>
        <v>10</v>
      </c>
      <c r="J20" s="301">
        <f>SUM($D$19:J19)</f>
        <v>15</v>
      </c>
      <c r="K20" s="301">
        <f>SUM($D$19:K19)</f>
        <v>15</v>
      </c>
      <c r="L20" s="301">
        <f>SUM($D$19:L19)</f>
        <v>15</v>
      </c>
      <c r="M20" s="305">
        <f>SUM($D$19:M19)</f>
        <v>15</v>
      </c>
    </row>
    <row r="21" spans="1:13" ht="14.1" customHeight="1">
      <c r="A21" s="192" t="s">
        <v>39</v>
      </c>
      <c r="B21" s="62">
        <v>1000</v>
      </c>
      <c r="C21" s="147"/>
      <c r="D21" s="229"/>
      <c r="E21" s="118"/>
      <c r="F21" s="207"/>
      <c r="G21" s="229"/>
      <c r="H21" s="118"/>
      <c r="I21" s="207"/>
      <c r="J21" s="118"/>
      <c r="K21" s="118"/>
      <c r="L21" s="118"/>
      <c r="M21" s="207"/>
    </row>
    <row r="22" spans="1:13" ht="14.1" customHeight="1">
      <c r="A22" s="192" t="s">
        <v>42</v>
      </c>
      <c r="B22" s="68"/>
      <c r="C22" s="147"/>
      <c r="D22" s="319">
        <f>SUM($D$18:D18)*$B$21</f>
        <v>0</v>
      </c>
      <c r="E22" s="303">
        <f>SUM($D$18:E18)*$B$21</f>
        <v>0</v>
      </c>
      <c r="F22" s="306">
        <f>SUM($D$18:F18)*$B$21</f>
        <v>0</v>
      </c>
      <c r="G22" s="319">
        <f>SUM($D$18:G18)*$B$21</f>
        <v>0</v>
      </c>
      <c r="H22" s="303">
        <f>SUM($D$18:H18)*$B$21</f>
        <v>10000</v>
      </c>
      <c r="I22" s="306">
        <f>SUM($D$18:I18)*$B$21</f>
        <v>15000</v>
      </c>
      <c r="J22" s="303">
        <f>SUM($D$18:J18)*$B$21</f>
        <v>15000</v>
      </c>
      <c r="K22" s="303">
        <f>SUM($D$18:K18)*$B$21</f>
        <v>15000</v>
      </c>
      <c r="L22" s="303">
        <f>SUM($D$18:L18)*$B$21</f>
        <v>15000</v>
      </c>
      <c r="M22" s="306">
        <f>SUM($D$18:M18)*$B$21</f>
        <v>15000</v>
      </c>
    </row>
    <row r="23" spans="1:13" ht="14.1" customHeight="1" thickBot="1">
      <c r="A23" s="150" t="s">
        <v>126</v>
      </c>
      <c r="B23" s="71"/>
      <c r="C23" s="310">
        <f>C14</f>
        <v>251.35</v>
      </c>
      <c r="D23" s="320">
        <f t="shared" ref="D23:M23" si="2">$C23*(1+$B$17)^D$4</f>
        <v>258.89049999999997</v>
      </c>
      <c r="E23" s="307">
        <f t="shared" si="2"/>
        <v>266.65721500000001</v>
      </c>
      <c r="F23" s="308">
        <f t="shared" si="2"/>
        <v>274.65693145</v>
      </c>
      <c r="G23" s="320">
        <f t="shared" si="2"/>
        <v>282.89663939349998</v>
      </c>
      <c r="H23" s="307">
        <f t="shared" si="2"/>
        <v>291.38353857530495</v>
      </c>
      <c r="I23" s="308">
        <f t="shared" si="2"/>
        <v>300.12504473256411</v>
      </c>
      <c r="J23" s="307">
        <f t="shared" si="2"/>
        <v>309.12879607454107</v>
      </c>
      <c r="K23" s="307">
        <f t="shared" si="2"/>
        <v>318.40265995677726</v>
      </c>
      <c r="L23" s="307">
        <f t="shared" si="2"/>
        <v>327.9547397554806</v>
      </c>
      <c r="M23" s="308">
        <f t="shared" si="2"/>
        <v>337.793381948145</v>
      </c>
    </row>
    <row r="24" spans="1:13" ht="4.5" customHeight="1">
      <c r="A24" s="352"/>
      <c r="B24" s="222"/>
      <c r="C24" s="309"/>
      <c r="D24" s="315"/>
      <c r="E24" s="304"/>
      <c r="F24" s="316"/>
      <c r="G24" s="315"/>
      <c r="H24" s="304"/>
      <c r="I24" s="316"/>
      <c r="J24" s="304"/>
      <c r="K24" s="304"/>
      <c r="L24" s="304"/>
      <c r="M24" s="316"/>
    </row>
    <row r="25" spans="1:13">
      <c r="A25" s="66" t="s">
        <v>81</v>
      </c>
      <c r="B25" s="68"/>
      <c r="C25" s="147"/>
      <c r="D25" s="67"/>
      <c r="E25" s="77"/>
      <c r="F25" s="122"/>
      <c r="G25" s="67"/>
      <c r="H25" s="77"/>
      <c r="I25" s="122"/>
      <c r="J25" s="77"/>
      <c r="K25" s="77"/>
      <c r="L25" s="77"/>
      <c r="M25" s="122"/>
    </row>
    <row r="26" spans="1:13" ht="14.1" customHeight="1">
      <c r="A26" s="192" t="s">
        <v>11</v>
      </c>
      <c r="B26" s="138">
        <v>0.03</v>
      </c>
      <c r="C26" s="146"/>
      <c r="D26" s="149"/>
      <c r="E26" s="117"/>
      <c r="F26" s="121"/>
      <c r="G26" s="149"/>
      <c r="H26" s="117"/>
      <c r="I26" s="121"/>
      <c r="J26" s="117"/>
      <c r="K26" s="117"/>
      <c r="L26" s="117"/>
      <c r="M26" s="121"/>
    </row>
    <row r="27" spans="1:13" ht="14.1" customHeight="1">
      <c r="A27" s="192" t="s">
        <v>112</v>
      </c>
      <c r="B27" s="138"/>
      <c r="C27" s="146"/>
      <c r="D27" s="348">
        <f>ROUND(('Development Schedule'!E67)/$B$30,0)</f>
        <v>0</v>
      </c>
      <c r="E27" s="349">
        <f>ROUND(('Development Schedule'!F67)/$B$30,0)</f>
        <v>0</v>
      </c>
      <c r="F27" s="246">
        <f>ROUND(('Development Schedule'!G67)/$B$30,0)</f>
        <v>0</v>
      </c>
      <c r="G27" s="348">
        <f>ROUND(('Development Schedule'!H67)/$B$30,0)</f>
        <v>0</v>
      </c>
      <c r="H27" s="349">
        <f>ROUND(('Development Schedule'!I67)/$B$30,0)</f>
        <v>0</v>
      </c>
      <c r="I27" s="246">
        <f>ROUND(('Development Schedule'!J67)/$B$30,0)</f>
        <v>0</v>
      </c>
      <c r="J27" s="349">
        <f>ROUND(('Development Schedule'!K67)/$B$30,0)</f>
        <v>0</v>
      </c>
      <c r="K27" s="349">
        <f>ROUND(('Development Schedule'!L67)/$B$30,0)</f>
        <v>0</v>
      </c>
      <c r="L27" s="349">
        <f>ROUND(('Development Schedule'!M67)/$B$30,0)</f>
        <v>50</v>
      </c>
      <c r="M27" s="246">
        <f>ROUND(('Development Schedule'!N67)/$B$30,0)</f>
        <v>0</v>
      </c>
    </row>
    <row r="28" spans="1:13" ht="14.1" customHeight="1">
      <c r="A28" s="192" t="s">
        <v>124</v>
      </c>
      <c r="B28" s="138"/>
      <c r="C28" s="146"/>
      <c r="D28" s="350">
        <v>0</v>
      </c>
      <c r="E28" s="203">
        <f t="shared" ref="E28:K28" si="3">D28</f>
        <v>0</v>
      </c>
      <c r="F28" s="208">
        <f t="shared" si="3"/>
        <v>0</v>
      </c>
      <c r="G28" s="230">
        <f t="shared" si="3"/>
        <v>0</v>
      </c>
      <c r="H28" s="203">
        <f t="shared" si="3"/>
        <v>0</v>
      </c>
      <c r="I28" s="865">
        <f t="shared" si="3"/>
        <v>0</v>
      </c>
      <c r="J28" s="864">
        <f t="shared" si="3"/>
        <v>0</v>
      </c>
      <c r="K28" s="62">
        <f t="shared" si="3"/>
        <v>0</v>
      </c>
      <c r="L28" s="203">
        <f>ROUND($C$55/2,0)</f>
        <v>25</v>
      </c>
      <c r="M28" s="203">
        <f>ROUND($C$55/2,0)</f>
        <v>25</v>
      </c>
    </row>
    <row r="29" spans="1:13" ht="13.5" customHeight="1">
      <c r="A29" s="192" t="s">
        <v>125</v>
      </c>
      <c r="B29" s="68"/>
      <c r="C29" s="147"/>
      <c r="D29" s="230">
        <f>SUM($D$28:D28)</f>
        <v>0</v>
      </c>
      <c r="E29" s="203">
        <f>SUM($D$28:E28)</f>
        <v>0</v>
      </c>
      <c r="F29" s="208">
        <f>SUM($D$28:F28)</f>
        <v>0</v>
      </c>
      <c r="G29" s="230">
        <f>SUM($D$28:G28)</f>
        <v>0</v>
      </c>
      <c r="H29" s="203">
        <f>SUM($D$28:H28)</f>
        <v>0</v>
      </c>
      <c r="I29" s="208">
        <f>SUM($D$28:L28)</f>
        <v>25</v>
      </c>
      <c r="J29" s="203">
        <f>SUM($D$28:M28)</f>
        <v>50</v>
      </c>
      <c r="K29" s="203">
        <f>SUM($D$28:K28)</f>
        <v>0</v>
      </c>
      <c r="L29" s="203">
        <f>SUM($D$28:L28)</f>
        <v>25</v>
      </c>
      <c r="M29" s="208">
        <f>SUM($D$28:M28)</f>
        <v>50</v>
      </c>
    </row>
    <row r="30" spans="1:13" ht="14.1" customHeight="1">
      <c r="A30" s="192" t="s">
        <v>39</v>
      </c>
      <c r="B30" s="62">
        <v>1000</v>
      </c>
      <c r="C30" s="147"/>
      <c r="D30" s="321"/>
      <c r="E30" s="322"/>
      <c r="F30" s="323"/>
      <c r="G30" s="321"/>
      <c r="H30" s="322"/>
      <c r="I30" s="323"/>
      <c r="J30" s="322"/>
      <c r="K30" s="322"/>
      <c r="L30" s="322"/>
      <c r="M30" s="323"/>
    </row>
    <row r="31" spans="1:13" ht="14.1" customHeight="1">
      <c r="A31" s="192" t="s">
        <v>42</v>
      </c>
      <c r="B31" s="68"/>
      <c r="C31" s="147"/>
      <c r="D31" s="324">
        <f>SUM($D$27:D27)*$B$30</f>
        <v>0</v>
      </c>
      <c r="E31" s="325">
        <f>SUM($D$27:E27)*$B$30</f>
        <v>0</v>
      </c>
      <c r="F31" s="326">
        <f>SUM($D$27:F27)*$B$30</f>
        <v>0</v>
      </c>
      <c r="G31" s="324">
        <f>SUM($D$27:G27)*$B$30</f>
        <v>0</v>
      </c>
      <c r="H31" s="325">
        <f>SUM($D$27:H27)*$B$30</f>
        <v>0</v>
      </c>
      <c r="I31" s="326">
        <f>SUM($D$27:I27)*$B$30</f>
        <v>0</v>
      </c>
      <c r="J31" s="325">
        <f>SUM($D$27:J27)*$B$30</f>
        <v>0</v>
      </c>
      <c r="K31" s="325">
        <f>SUM($D$27:K27)*$B$30</f>
        <v>0</v>
      </c>
      <c r="L31" s="325">
        <f>SUM($D$27:L27)*$B$30</f>
        <v>50000</v>
      </c>
      <c r="M31" s="326">
        <f>SUM($D$27:M27)*$B$30</f>
        <v>50000</v>
      </c>
    </row>
    <row r="32" spans="1:13" ht="14.1" customHeight="1" thickBot="1">
      <c r="A32" s="150" t="s">
        <v>126</v>
      </c>
      <c r="B32" s="71"/>
      <c r="C32" s="380">
        <f>C23</f>
        <v>251.35</v>
      </c>
      <c r="D32" s="320">
        <f t="shared" ref="D32:M32" si="4">D23</f>
        <v>258.89049999999997</v>
      </c>
      <c r="E32" s="307">
        <f t="shared" si="4"/>
        <v>266.65721500000001</v>
      </c>
      <c r="F32" s="308">
        <f t="shared" si="4"/>
        <v>274.65693145</v>
      </c>
      <c r="G32" s="320">
        <f t="shared" si="4"/>
        <v>282.89663939349998</v>
      </c>
      <c r="H32" s="307">
        <f t="shared" si="4"/>
        <v>291.38353857530495</v>
      </c>
      <c r="I32" s="308">
        <f t="shared" si="4"/>
        <v>300.12504473256411</v>
      </c>
      <c r="J32" s="307">
        <f t="shared" si="4"/>
        <v>309.12879607454107</v>
      </c>
      <c r="K32" s="307">
        <f t="shared" si="4"/>
        <v>318.40265995677726</v>
      </c>
      <c r="L32" s="307">
        <f t="shared" si="4"/>
        <v>327.9547397554806</v>
      </c>
      <c r="M32" s="308">
        <f t="shared" si="4"/>
        <v>337.793381948145</v>
      </c>
    </row>
    <row r="33" spans="1:13" ht="13.5" thickBot="1">
      <c r="A33" s="217" t="s">
        <v>0</v>
      </c>
      <c r="B33" s="214"/>
      <c r="C33" s="223"/>
      <c r="D33" s="264"/>
      <c r="E33" s="220"/>
      <c r="F33" s="221"/>
      <c r="G33" s="264"/>
      <c r="H33" s="220"/>
      <c r="I33" s="221"/>
      <c r="J33" s="220"/>
      <c r="K33" s="220"/>
      <c r="L33" s="220"/>
      <c r="M33" s="221"/>
    </row>
    <row r="34" spans="1:13" ht="14.1" customHeight="1">
      <c r="A34" s="192" t="s">
        <v>16</v>
      </c>
      <c r="B34" s="68"/>
      <c r="C34" s="154">
        <f>SUM(C19,C28,C10)*$B$21*C23</f>
        <v>0</v>
      </c>
      <c r="D34" s="284">
        <f t="shared" ref="D34:M34" si="5">SUM(D19,D28,D10)*$B$21*D23</f>
        <v>0</v>
      </c>
      <c r="E34" s="249">
        <f>SUM(E19,E28,E10)*$B$21*E23</f>
        <v>1066628.8600000001</v>
      </c>
      <c r="F34" s="253">
        <f t="shared" si="5"/>
        <v>823970.79434999998</v>
      </c>
      <c r="G34" s="284">
        <f t="shared" si="5"/>
        <v>848689.91818049992</v>
      </c>
      <c r="H34" s="249">
        <f t="shared" si="5"/>
        <v>1456917.6928765248</v>
      </c>
      <c r="I34" s="253">
        <f t="shared" si="5"/>
        <v>1500625.2236628206</v>
      </c>
      <c r="J34" s="249">
        <f t="shared" si="5"/>
        <v>1545643.9803727053</v>
      </c>
      <c r="K34" s="249">
        <f t="shared" si="5"/>
        <v>0</v>
      </c>
      <c r="L34" s="249">
        <f t="shared" si="5"/>
        <v>8198868.4938870147</v>
      </c>
      <c r="M34" s="249">
        <f t="shared" si="5"/>
        <v>8444834.5487036258</v>
      </c>
    </row>
    <row r="35" spans="1:13" ht="14.1" customHeight="1">
      <c r="A35" s="192" t="s">
        <v>43</v>
      </c>
      <c r="B35" s="119">
        <f>D58</f>
        <v>0.05</v>
      </c>
      <c r="C35" s="155">
        <f>C34*-$B$35</f>
        <v>0</v>
      </c>
      <c r="D35" s="271">
        <f t="shared" ref="D35:M35" si="6">D34*-$B$35</f>
        <v>0</v>
      </c>
      <c r="E35" s="250">
        <f t="shared" si="6"/>
        <v>-53331.443000000007</v>
      </c>
      <c r="F35" s="272">
        <f t="shared" si="6"/>
        <v>-41198.539717500003</v>
      </c>
      <c r="G35" s="271">
        <f t="shared" si="6"/>
        <v>-42434.495909024998</v>
      </c>
      <c r="H35" s="250">
        <f t="shared" si="6"/>
        <v>-72845.884643826241</v>
      </c>
      <c r="I35" s="272">
        <f t="shared" si="6"/>
        <v>-75031.261183141032</v>
      </c>
      <c r="J35" s="250">
        <f t="shared" si="6"/>
        <v>-77282.199018635263</v>
      </c>
      <c r="K35" s="250">
        <f t="shared" si="6"/>
        <v>0</v>
      </c>
      <c r="L35" s="250">
        <f t="shared" si="6"/>
        <v>-409943.42469435075</v>
      </c>
      <c r="M35" s="272">
        <f t="shared" si="6"/>
        <v>-422241.72743518132</v>
      </c>
    </row>
    <row r="36" spans="1:13" ht="14.1" customHeight="1">
      <c r="A36" s="254" t="s">
        <v>44</v>
      </c>
      <c r="B36" s="120">
        <f>D59</f>
        <v>0.05</v>
      </c>
      <c r="C36" s="285">
        <f>C34*-$B$36</f>
        <v>0</v>
      </c>
      <c r="D36" s="286">
        <f>D34*-$B$36</f>
        <v>0</v>
      </c>
      <c r="E36" s="252">
        <f t="shared" ref="E36:M36" si="7">E34*-$B$36</f>
        <v>-53331.443000000007</v>
      </c>
      <c r="F36" s="255">
        <f t="shared" si="7"/>
        <v>-41198.539717500003</v>
      </c>
      <c r="G36" s="286">
        <f t="shared" si="7"/>
        <v>-42434.495909024998</v>
      </c>
      <c r="H36" s="252">
        <f t="shared" si="7"/>
        <v>-72845.884643826241</v>
      </c>
      <c r="I36" s="255">
        <f t="shared" si="7"/>
        <v>-75031.261183141032</v>
      </c>
      <c r="J36" s="252">
        <f t="shared" si="7"/>
        <v>-77282.199018635263</v>
      </c>
      <c r="K36" s="252">
        <f t="shared" si="7"/>
        <v>0</v>
      </c>
      <c r="L36" s="252">
        <f t="shared" si="7"/>
        <v>-409943.42469435075</v>
      </c>
      <c r="M36" s="255">
        <f t="shared" si="7"/>
        <v>-422241.72743518132</v>
      </c>
    </row>
    <row r="37" spans="1:13" ht="14.1" customHeight="1" thickBot="1">
      <c r="A37" s="126" t="s">
        <v>5</v>
      </c>
      <c r="B37" s="71"/>
      <c r="C37" s="281">
        <f>SUM(C34:C36)</f>
        <v>0</v>
      </c>
      <c r="D37" s="282">
        <f t="shared" ref="D37:M37" si="8">SUM(D34:D36)</f>
        <v>0</v>
      </c>
      <c r="E37" s="256">
        <f t="shared" si="8"/>
        <v>959965.97400000016</v>
      </c>
      <c r="F37" s="257">
        <f t="shared" si="8"/>
        <v>741573.71491500002</v>
      </c>
      <c r="G37" s="282">
        <f t="shared" si="8"/>
        <v>763820.92636245</v>
      </c>
      <c r="H37" s="256">
        <f t="shared" si="8"/>
        <v>1311225.9235888724</v>
      </c>
      <c r="I37" s="257">
        <f t="shared" si="8"/>
        <v>1350562.7012965386</v>
      </c>
      <c r="J37" s="256">
        <f t="shared" si="8"/>
        <v>1391079.5823354346</v>
      </c>
      <c r="K37" s="256">
        <f t="shared" si="8"/>
        <v>0</v>
      </c>
      <c r="L37" s="256">
        <f t="shared" si="8"/>
        <v>7378981.6444983128</v>
      </c>
      <c r="M37" s="257">
        <f t="shared" si="8"/>
        <v>7600351.093833264</v>
      </c>
    </row>
    <row r="38" spans="1:13" ht="13.5" thickBot="1">
      <c r="A38" s="217" t="s">
        <v>2</v>
      </c>
      <c r="B38" s="328"/>
      <c r="C38" s="223"/>
      <c r="D38" s="264"/>
      <c r="E38" s="220"/>
      <c r="F38" s="221"/>
      <c r="G38" s="264"/>
      <c r="H38" s="220"/>
      <c r="I38" s="221"/>
      <c r="J38" s="220"/>
      <c r="K38" s="220"/>
      <c r="L38" s="220"/>
      <c r="M38" s="221"/>
    </row>
    <row r="39" spans="1:13" s="39" customFormat="1">
      <c r="A39" s="192" t="s">
        <v>118</v>
      </c>
      <c r="B39" s="200"/>
      <c r="C39" s="841">
        <f>'Summary Board'!F97</f>
        <v>240.62200000000001</v>
      </c>
      <c r="D39" s="231">
        <f t="shared" ref="D39:M39" si="9">$C$39*(1+$B$17)^D4</f>
        <v>247.84066000000001</v>
      </c>
      <c r="E39" s="218">
        <f t="shared" si="9"/>
        <v>255.27587980000001</v>
      </c>
      <c r="F39" s="219">
        <f t="shared" si="9"/>
        <v>262.93415619400002</v>
      </c>
      <c r="G39" s="231">
        <f t="shared" si="9"/>
        <v>270.82218087982</v>
      </c>
      <c r="H39" s="218">
        <f t="shared" si="9"/>
        <v>278.94684630621458</v>
      </c>
      <c r="I39" s="219">
        <f t="shared" si="9"/>
        <v>287.31525169540106</v>
      </c>
      <c r="J39" s="218">
        <f t="shared" si="9"/>
        <v>295.93470924626308</v>
      </c>
      <c r="K39" s="218">
        <f t="shared" si="9"/>
        <v>304.81275052365095</v>
      </c>
      <c r="L39" s="218">
        <f t="shared" si="9"/>
        <v>313.95713303936049</v>
      </c>
      <c r="M39" s="219">
        <f t="shared" si="9"/>
        <v>323.37584703054131</v>
      </c>
    </row>
    <row r="40" spans="1:13" ht="14.1" customHeight="1">
      <c r="A40" s="192" t="s">
        <v>13</v>
      </c>
      <c r="B40" s="200"/>
      <c r="C40" s="277">
        <f>C41/SUM($C$41:$M$41)</f>
        <v>0</v>
      </c>
      <c r="D40" s="278">
        <f t="shared" ref="D40:M40" si="10">D41/SUM($C$41:$M$41)</f>
        <v>0.11063175289487795</v>
      </c>
      <c r="E40" s="205">
        <f t="shared" si="10"/>
        <v>0</v>
      </c>
      <c r="F40" s="261">
        <f t="shared" si="10"/>
        <v>0</v>
      </c>
      <c r="G40" s="278">
        <f t="shared" si="10"/>
        <v>0</v>
      </c>
      <c r="H40" s="205">
        <f t="shared" si="10"/>
        <v>0.12451701254892812</v>
      </c>
      <c r="I40" s="261">
        <f t="shared" si="10"/>
        <v>6.4126261462697995E-2</v>
      </c>
      <c r="J40" s="205">
        <f t="shared" si="10"/>
        <v>0</v>
      </c>
      <c r="K40" s="205">
        <f t="shared" si="10"/>
        <v>0</v>
      </c>
      <c r="L40" s="205">
        <f t="shared" si="10"/>
        <v>0.70072497309349591</v>
      </c>
      <c r="M40" s="261">
        <f t="shared" si="10"/>
        <v>0</v>
      </c>
    </row>
    <row r="41" spans="1:13" ht="14.1" customHeight="1">
      <c r="A41" s="192" t="s">
        <v>2</v>
      </c>
      <c r="B41" s="200"/>
      <c r="C41" s="176">
        <f>C39*'Development Schedule'!D80</f>
        <v>0</v>
      </c>
      <c r="D41" s="331">
        <f>D39*'Development Schedule'!E81</f>
        <v>2478406.6</v>
      </c>
      <c r="E41" s="332">
        <f>E39*'Development Schedule'!F81</f>
        <v>0</v>
      </c>
      <c r="F41" s="333">
        <f>F39*'Development Schedule'!G81</f>
        <v>0</v>
      </c>
      <c r="G41" s="331">
        <f>G39*'Development Schedule'!H81</f>
        <v>0</v>
      </c>
      <c r="H41" s="332">
        <f>H39*'Development Schedule'!I81</f>
        <v>2789468.4630621457</v>
      </c>
      <c r="I41" s="333">
        <f>I39*'Development Schedule'!J81</f>
        <v>1436576.2584770054</v>
      </c>
      <c r="J41" s="332">
        <f>J39*'Development Schedule'!K81</f>
        <v>0</v>
      </c>
      <c r="K41" s="332">
        <f>K39*'Development Schedule'!L81</f>
        <v>0</v>
      </c>
      <c r="L41" s="332">
        <f>L39*'Development Schedule'!M81</f>
        <v>15697856.651968025</v>
      </c>
      <c r="M41" s="333">
        <f>M39*'Development Schedule'!N81</f>
        <v>0</v>
      </c>
    </row>
    <row r="42" spans="1:13" ht="14.1" customHeight="1">
      <c r="A42" s="254" t="s">
        <v>14</v>
      </c>
      <c r="B42" s="329"/>
      <c r="C42" s="184"/>
      <c r="D42" s="280"/>
      <c r="E42" s="260"/>
      <c r="F42" s="263"/>
      <c r="G42" s="280"/>
      <c r="H42" s="260"/>
      <c r="I42" s="263"/>
      <c r="J42" s="260"/>
      <c r="K42" s="260"/>
      <c r="L42" s="260"/>
      <c r="M42" s="263"/>
    </row>
    <row r="43" spans="1:13" ht="14.1" customHeight="1" thickBot="1">
      <c r="A43" s="126" t="s">
        <v>3</v>
      </c>
      <c r="B43" s="330"/>
      <c r="C43" s="281">
        <f>SUM(C41:C42)</f>
        <v>0</v>
      </c>
      <c r="D43" s="337">
        <f t="shared" ref="D43:M43" si="11">SUM(D41:D42)</f>
        <v>2478406.6</v>
      </c>
      <c r="E43" s="338">
        <f t="shared" si="11"/>
        <v>0</v>
      </c>
      <c r="F43" s="339">
        <f t="shared" si="11"/>
        <v>0</v>
      </c>
      <c r="G43" s="337">
        <f t="shared" si="11"/>
        <v>0</v>
      </c>
      <c r="H43" s="338">
        <f t="shared" si="11"/>
        <v>2789468.4630621457</v>
      </c>
      <c r="I43" s="339">
        <f t="shared" si="11"/>
        <v>1436576.2584770054</v>
      </c>
      <c r="J43" s="338">
        <f t="shared" si="11"/>
        <v>0</v>
      </c>
      <c r="K43" s="338">
        <f t="shared" si="11"/>
        <v>0</v>
      </c>
      <c r="L43" s="338">
        <f t="shared" si="11"/>
        <v>15697856.651968025</v>
      </c>
      <c r="M43" s="339">
        <f t="shared" si="11"/>
        <v>0</v>
      </c>
    </row>
    <row r="44" spans="1:13" ht="13.5" thickBot="1">
      <c r="A44" s="217" t="s">
        <v>4</v>
      </c>
      <c r="B44" s="214"/>
      <c r="C44" s="340"/>
      <c r="D44" s="341"/>
      <c r="E44" s="342"/>
      <c r="F44" s="343"/>
      <c r="G44" s="341"/>
      <c r="H44" s="342"/>
      <c r="I44" s="343"/>
      <c r="J44" s="342"/>
      <c r="K44" s="342"/>
      <c r="L44" s="342"/>
      <c r="M44" s="343"/>
    </row>
    <row r="45" spans="1:13" ht="14.1" customHeight="1">
      <c r="A45" s="192" t="s">
        <v>5</v>
      </c>
      <c r="B45" s="68"/>
      <c r="C45" s="154">
        <f>C37</f>
        <v>0</v>
      </c>
      <c r="D45" s="279">
        <f t="shared" ref="D45:L45" si="12">D37</f>
        <v>0</v>
      </c>
      <c r="E45" s="248">
        <f t="shared" si="12"/>
        <v>959965.97400000016</v>
      </c>
      <c r="F45" s="262">
        <f t="shared" si="12"/>
        <v>741573.71491500002</v>
      </c>
      <c r="G45" s="279">
        <f t="shared" si="12"/>
        <v>763820.92636245</v>
      </c>
      <c r="H45" s="248">
        <f t="shared" si="12"/>
        <v>1311225.9235888724</v>
      </c>
      <c r="I45" s="262">
        <f t="shared" si="12"/>
        <v>1350562.7012965386</v>
      </c>
      <c r="J45" s="248">
        <f t="shared" si="12"/>
        <v>1391079.5823354346</v>
      </c>
      <c r="K45" s="248">
        <f t="shared" si="12"/>
        <v>0</v>
      </c>
      <c r="L45" s="248">
        <f t="shared" si="12"/>
        <v>7378981.6444983128</v>
      </c>
      <c r="M45" s="262">
        <f>M37</f>
        <v>7600351.093833264</v>
      </c>
    </row>
    <row r="46" spans="1:13" ht="14.1" customHeight="1">
      <c r="A46" s="254" t="s">
        <v>119</v>
      </c>
      <c r="B46" s="327"/>
      <c r="C46" s="285">
        <f>-C43</f>
        <v>0</v>
      </c>
      <c r="D46" s="286">
        <f t="shared" ref="D46:M46" si="13">-D43</f>
        <v>-2478406.6</v>
      </c>
      <c r="E46" s="252">
        <f t="shared" si="13"/>
        <v>0</v>
      </c>
      <c r="F46" s="255">
        <f t="shared" si="13"/>
        <v>0</v>
      </c>
      <c r="G46" s="286">
        <f t="shared" si="13"/>
        <v>0</v>
      </c>
      <c r="H46" s="252">
        <f t="shared" si="13"/>
        <v>-2789468.4630621457</v>
      </c>
      <c r="I46" s="255">
        <f t="shared" si="13"/>
        <v>-1436576.2584770054</v>
      </c>
      <c r="J46" s="252">
        <f t="shared" si="13"/>
        <v>0</v>
      </c>
      <c r="K46" s="252">
        <f t="shared" si="13"/>
        <v>0</v>
      </c>
      <c r="L46" s="252">
        <f t="shared" si="13"/>
        <v>-15697856.651968025</v>
      </c>
      <c r="M46" s="255">
        <f t="shared" si="13"/>
        <v>0</v>
      </c>
    </row>
    <row r="47" spans="1:13" ht="14.1" customHeight="1" thickBot="1">
      <c r="A47" s="943" t="s">
        <v>6</v>
      </c>
      <c r="B47" s="128"/>
      <c r="C47" s="281">
        <f>SUM(C45:C46)</f>
        <v>0</v>
      </c>
      <c r="D47" s="282">
        <f t="shared" ref="D47:M47" si="14">SUM(D45:D46)</f>
        <v>-2478406.6</v>
      </c>
      <c r="E47" s="256">
        <f t="shared" si="14"/>
        <v>959965.97400000016</v>
      </c>
      <c r="F47" s="257">
        <f t="shared" si="14"/>
        <v>741573.71491500002</v>
      </c>
      <c r="G47" s="282">
        <f t="shared" si="14"/>
        <v>763820.92636245</v>
      </c>
      <c r="H47" s="256">
        <f t="shared" si="14"/>
        <v>-1478242.5394732733</v>
      </c>
      <c r="I47" s="257">
        <f t="shared" si="14"/>
        <v>-86013.557180466829</v>
      </c>
      <c r="J47" s="256">
        <f t="shared" si="14"/>
        <v>1391079.5823354346</v>
      </c>
      <c r="K47" s="256">
        <f t="shared" si="14"/>
        <v>0</v>
      </c>
      <c r="L47" s="256">
        <f t="shared" si="14"/>
        <v>-8318875.0074697118</v>
      </c>
      <c r="M47" s="257">
        <f t="shared" si="14"/>
        <v>7600351.093833264</v>
      </c>
    </row>
    <row r="48" spans="1:13" ht="13.5" thickBot="1">
      <c r="A48" s="125" t="s">
        <v>27</v>
      </c>
      <c r="B48" s="116"/>
      <c r="C48" s="288">
        <f>C47+NPV(D60,D47:M47)</f>
        <v>-1222888.232991013</v>
      </c>
      <c r="D48" s="229"/>
      <c r="E48" s="118"/>
      <c r="F48" s="207"/>
      <c r="G48" s="229"/>
      <c r="H48" s="118"/>
      <c r="I48" s="207"/>
      <c r="J48" s="118"/>
      <c r="K48" s="118"/>
      <c r="L48" s="118"/>
      <c r="M48" s="207"/>
    </row>
    <row r="49" spans="1:13" ht="13.5" thickBot="1">
      <c r="A49" s="91" t="s">
        <v>62</v>
      </c>
      <c r="B49" s="169"/>
      <c r="C49" s="292">
        <f>IRR(C47:M47,0)</f>
        <v>-6.3518102364162221E-2</v>
      </c>
      <c r="D49" s="273"/>
      <c r="E49" s="169"/>
      <c r="F49" s="191"/>
      <c r="G49" s="273"/>
      <c r="H49" s="169"/>
      <c r="I49" s="191"/>
      <c r="J49" s="169"/>
      <c r="K49" s="169"/>
      <c r="L49" s="169"/>
      <c r="M49" s="191"/>
    </row>
    <row r="50" spans="1:13" ht="13.5" thickBot="1">
      <c r="A50" s="39"/>
      <c r="B50" s="61"/>
      <c r="C50" s="61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3.5" thickBot="1">
      <c r="A51" s="202" t="s">
        <v>110</v>
      </c>
      <c r="B51" s="175"/>
      <c r="C51" s="175"/>
      <c r="D51" s="201"/>
      <c r="E51" s="39"/>
      <c r="F51" s="39"/>
      <c r="G51" s="39"/>
      <c r="H51" s="39"/>
      <c r="I51" s="39"/>
      <c r="J51" s="39"/>
      <c r="K51" s="39"/>
      <c r="L51" s="39"/>
      <c r="M51" s="39"/>
    </row>
    <row r="52" spans="1:13" ht="13.5" thickBot="1">
      <c r="A52" s="89"/>
      <c r="B52" s="169"/>
      <c r="C52" s="94" t="s">
        <v>108</v>
      </c>
      <c r="D52" s="95" t="s">
        <v>109</v>
      </c>
      <c r="E52" s="39"/>
      <c r="F52" s="39"/>
      <c r="G52" s="39"/>
      <c r="H52" s="39"/>
      <c r="I52" s="39"/>
      <c r="J52" s="39"/>
      <c r="K52" s="39"/>
      <c r="L52" s="39"/>
      <c r="M52" s="39"/>
    </row>
    <row r="53" spans="1:13">
      <c r="A53" s="67" t="s">
        <v>37</v>
      </c>
      <c r="B53" s="68"/>
      <c r="C53" s="301">
        <f>D53/$B$21</f>
        <v>10</v>
      </c>
      <c r="D53" s="246">
        <f>'Development Schedule'!C13</f>
        <v>10000</v>
      </c>
      <c r="E53" s="39"/>
      <c r="F53" s="39"/>
      <c r="G53" s="39"/>
      <c r="H53" s="39"/>
      <c r="I53" s="39"/>
      <c r="J53" s="39"/>
      <c r="K53" s="39"/>
      <c r="L53" s="39"/>
      <c r="M53" s="39"/>
    </row>
    <row r="54" spans="1:13">
      <c r="A54" s="67" t="s">
        <v>80</v>
      </c>
      <c r="B54" s="68"/>
      <c r="C54" s="301">
        <f>D54/$B$21</f>
        <v>15</v>
      </c>
      <c r="D54" s="246">
        <f>'Development Schedule'!C41</f>
        <v>15000</v>
      </c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3.5" thickBot="1">
      <c r="A55" s="70" t="s">
        <v>81</v>
      </c>
      <c r="B55" s="71"/>
      <c r="C55" s="914">
        <f>D55/$B$30</f>
        <v>50</v>
      </c>
      <c r="D55" s="247">
        <f>'Development Schedule'!C67</f>
        <v>50000</v>
      </c>
      <c r="E55" s="39"/>
      <c r="F55" s="39"/>
      <c r="G55" s="39"/>
      <c r="H55" s="39"/>
      <c r="I55" s="39"/>
      <c r="J55" s="39"/>
      <c r="K55" s="39"/>
      <c r="L55" s="39"/>
      <c r="M55" s="39"/>
    </row>
    <row r="56" spans="1:13" ht="13.5" thickBot="1">
      <c r="A56" s="39"/>
      <c r="B56" s="61"/>
      <c r="C56" s="61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13.5" thickBot="1">
      <c r="A57" s="202" t="s">
        <v>120</v>
      </c>
      <c r="B57" s="275"/>
      <c r="C57" s="275"/>
      <c r="D57" s="276"/>
      <c r="E57" s="39"/>
      <c r="F57" s="39"/>
      <c r="G57" s="39"/>
      <c r="H57" s="39"/>
      <c r="I57" s="39"/>
      <c r="J57" s="39"/>
      <c r="K57" s="39"/>
      <c r="L57" s="39"/>
      <c r="M57" s="39"/>
    </row>
    <row r="58" spans="1:13">
      <c r="A58" s="67" t="s">
        <v>43</v>
      </c>
      <c r="B58" s="68"/>
      <c r="C58" s="68"/>
      <c r="D58" s="840">
        <v>0.05</v>
      </c>
      <c r="E58" s="39"/>
      <c r="F58" s="39"/>
      <c r="G58" s="39"/>
      <c r="H58" s="39"/>
      <c r="I58" s="39"/>
      <c r="J58" s="39"/>
      <c r="K58" s="39"/>
      <c r="L58" s="39"/>
      <c r="M58" s="39"/>
    </row>
    <row r="59" spans="1:13">
      <c r="A59" s="67" t="s">
        <v>44</v>
      </c>
      <c r="B59" s="68"/>
      <c r="C59" s="68"/>
      <c r="D59" s="840">
        <v>0.05</v>
      </c>
      <c r="E59" s="39"/>
      <c r="F59" s="39"/>
      <c r="G59" s="39"/>
      <c r="H59" s="39"/>
      <c r="I59" s="39"/>
      <c r="J59" s="39"/>
      <c r="K59" s="39"/>
      <c r="L59" s="39"/>
      <c r="M59" s="39"/>
    </row>
    <row r="60" spans="1:13" ht="13.5" thickBot="1">
      <c r="A60" s="70" t="s">
        <v>106</v>
      </c>
      <c r="B60" s="71"/>
      <c r="C60" s="71"/>
      <c r="D60" s="839">
        <v>0.09</v>
      </c>
      <c r="E60" s="39"/>
      <c r="F60" s="39"/>
      <c r="G60" s="39"/>
      <c r="H60" s="39"/>
      <c r="I60" s="39"/>
      <c r="J60" s="39"/>
      <c r="K60" s="39"/>
      <c r="L60" s="39"/>
      <c r="M60" s="39"/>
    </row>
    <row r="61" spans="1:13">
      <c r="A61" s="39"/>
      <c r="B61" s="61"/>
      <c r="C61" s="61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>
      <c r="A62" s="39"/>
      <c r="B62" s="61"/>
      <c r="C62" s="61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>
      <c r="A63" s="39"/>
      <c r="B63" s="61"/>
      <c r="C63" s="61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>
      <c r="A64" s="39"/>
      <c r="B64" s="61"/>
      <c r="C64" s="61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>
      <c r="A65" s="39"/>
      <c r="B65" s="61"/>
      <c r="C65" s="61"/>
      <c r="D65" s="39"/>
      <c r="E65" s="39"/>
      <c r="F65" s="39"/>
      <c r="G65" s="39"/>
      <c r="H65" s="39"/>
      <c r="I65" s="39"/>
      <c r="J65" s="39"/>
      <c r="K65" s="39"/>
      <c r="L65" s="39"/>
      <c r="M65" s="39"/>
    </row>
  </sheetData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70" zoomScaleNormal="100" zoomScaleSheetLayoutView="70" workbookViewId="0">
      <selection activeCell="C34" sqref="C34:M34"/>
    </sheetView>
  </sheetViews>
  <sheetFormatPr defaultColWidth="9.140625" defaultRowHeight="12.75" outlineLevelRow="1"/>
  <cols>
    <col min="1" max="1" width="23.42578125" style="107" customWidth="1"/>
    <col min="2" max="2" width="12.85546875" style="108" customWidth="1"/>
    <col min="3" max="3" width="15.42578125" style="108" bestFit="1" customWidth="1"/>
    <col min="4" max="4" width="13.7109375" style="107" customWidth="1"/>
    <col min="5" max="5" width="14.42578125" style="107" bestFit="1" customWidth="1"/>
    <col min="6" max="12" width="13.7109375" style="107" customWidth="1"/>
    <col min="13" max="13" width="14.5703125" style="107" bestFit="1" customWidth="1"/>
    <col min="14" max="16384" width="9.140625" style="107"/>
  </cols>
  <sheetData>
    <row r="1" spans="1:13" ht="14.1" customHeight="1" thickBot="1">
      <c r="A1" s="39"/>
      <c r="B1" s="61"/>
      <c r="C1" s="6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3" ht="14.1" customHeight="1" thickBot="1">
      <c r="A2" s="39"/>
      <c r="B2" s="61"/>
      <c r="C2" s="61"/>
      <c r="D2" s="39"/>
      <c r="E2" s="39"/>
      <c r="F2" s="39"/>
      <c r="G2" s="39"/>
      <c r="H2" s="39"/>
      <c r="I2" s="39"/>
      <c r="J2" s="39"/>
      <c r="K2" s="39"/>
      <c r="L2" s="392"/>
      <c r="M2" s="393"/>
    </row>
    <row r="3" spans="1:13" ht="14.1" customHeight="1" thickBot="1">
      <c r="A3" s="139"/>
      <c r="B3" s="222"/>
      <c r="C3" s="49" t="s">
        <v>58</v>
      </c>
      <c r="D3" s="114" t="s">
        <v>37</v>
      </c>
      <c r="E3" s="115"/>
      <c r="F3" s="46"/>
      <c r="G3" s="114" t="s">
        <v>80</v>
      </c>
      <c r="H3" s="160"/>
      <c r="I3" s="46"/>
      <c r="J3" s="114" t="s">
        <v>81</v>
      </c>
      <c r="K3" s="44"/>
      <c r="L3" s="45"/>
      <c r="M3" s="46"/>
    </row>
    <row r="4" spans="1:13" ht="14.1" customHeight="1" thickBot="1">
      <c r="A4" s="67"/>
      <c r="B4" s="68"/>
      <c r="C4" s="311">
        <v>0</v>
      </c>
      <c r="D4" s="112">
        <f>C4+1</f>
        <v>1</v>
      </c>
      <c r="E4" s="111">
        <f t="shared" ref="E4:M5" si="0">D4+1</f>
        <v>2</v>
      </c>
      <c r="F4" s="113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2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13" ht="14.1" customHeight="1" thickBot="1">
      <c r="A5" s="67"/>
      <c r="B5" s="394"/>
      <c r="C5" s="397" t="s">
        <v>311</v>
      </c>
      <c r="D5" s="388">
        <v>2019</v>
      </c>
      <c r="E5" s="389">
        <f>D5+1</f>
        <v>2020</v>
      </c>
      <c r="F5" s="391">
        <f t="shared" si="0"/>
        <v>2021</v>
      </c>
      <c r="G5" s="390">
        <f t="shared" si="0"/>
        <v>2022</v>
      </c>
      <c r="H5" s="389">
        <f t="shared" si="0"/>
        <v>2023</v>
      </c>
      <c r="I5" s="391">
        <f t="shared" si="0"/>
        <v>2024</v>
      </c>
      <c r="J5" s="390">
        <f t="shared" si="0"/>
        <v>2025</v>
      </c>
      <c r="K5" s="389">
        <f t="shared" si="0"/>
        <v>2026</v>
      </c>
      <c r="L5" s="389">
        <f>K5+1</f>
        <v>2027</v>
      </c>
      <c r="M5" s="391">
        <f>L5+1</f>
        <v>2028</v>
      </c>
    </row>
    <row r="6" spans="1:13" ht="13.5" thickBot="1">
      <c r="A6" s="217" t="s">
        <v>10</v>
      </c>
      <c r="B6" s="214"/>
      <c r="C6" s="312"/>
      <c r="D6" s="226"/>
      <c r="E6" s="215"/>
      <c r="F6" s="216"/>
      <c r="G6" s="226"/>
      <c r="H6" s="215"/>
      <c r="I6" s="216"/>
      <c r="J6" s="226"/>
      <c r="K6" s="215"/>
      <c r="L6" s="215"/>
      <c r="M6" s="216"/>
    </row>
    <row r="7" spans="1:13">
      <c r="A7" s="66" t="s">
        <v>371</v>
      </c>
      <c r="B7" s="68"/>
      <c r="C7" s="228"/>
      <c r="D7" s="67"/>
      <c r="E7" s="77"/>
      <c r="F7" s="122"/>
      <c r="G7" s="67"/>
      <c r="H7" s="77"/>
      <c r="I7" s="122"/>
      <c r="J7" s="67"/>
      <c r="K7" s="77"/>
      <c r="L7" s="77"/>
      <c r="M7" s="122"/>
    </row>
    <row r="8" spans="1:13" ht="14.1" customHeight="1">
      <c r="A8" s="192" t="s">
        <v>11</v>
      </c>
      <c r="B8" s="138">
        <v>0.03</v>
      </c>
      <c r="C8" s="313"/>
      <c r="D8" s="149"/>
      <c r="E8" s="117"/>
      <c r="F8" s="121"/>
      <c r="G8" s="149"/>
      <c r="H8" s="117"/>
      <c r="I8" s="121"/>
      <c r="J8" s="149"/>
      <c r="K8" s="117"/>
      <c r="L8" s="117"/>
      <c r="M8" s="121"/>
    </row>
    <row r="9" spans="1:13" ht="14.1" customHeight="1">
      <c r="A9" s="192" t="s">
        <v>127</v>
      </c>
      <c r="B9" s="68"/>
      <c r="C9" s="350">
        <v>0</v>
      </c>
      <c r="D9" s="230">
        <f>C9</f>
        <v>0</v>
      </c>
      <c r="E9" s="203">
        <f>C47</f>
        <v>431739</v>
      </c>
      <c r="F9" s="867">
        <f>E9</f>
        <v>431739</v>
      </c>
      <c r="G9" s="230">
        <f t="shared" ref="G9:M9" si="1">F9</f>
        <v>431739</v>
      </c>
      <c r="H9" s="203">
        <f t="shared" si="1"/>
        <v>431739</v>
      </c>
      <c r="I9" s="208">
        <f t="shared" si="1"/>
        <v>431739</v>
      </c>
      <c r="J9" s="230">
        <f t="shared" si="1"/>
        <v>431739</v>
      </c>
      <c r="K9" s="203">
        <f t="shared" si="1"/>
        <v>431739</v>
      </c>
      <c r="L9" s="203">
        <f t="shared" si="1"/>
        <v>431739</v>
      </c>
      <c r="M9" s="208">
        <f t="shared" si="1"/>
        <v>431739</v>
      </c>
    </row>
    <row r="10" spans="1:13" ht="14.1" customHeight="1">
      <c r="A10" s="192" t="s">
        <v>40</v>
      </c>
      <c r="B10" s="138">
        <v>0.9</v>
      </c>
      <c r="C10" s="350">
        <v>0</v>
      </c>
      <c r="D10" s="230">
        <f>C10</f>
        <v>0</v>
      </c>
      <c r="E10" s="203">
        <f t="shared" ref="E10:M10" si="2">D10</f>
        <v>0</v>
      </c>
      <c r="F10" s="208">
        <f>F9*B10</f>
        <v>388565.10000000003</v>
      </c>
      <c r="G10" s="230">
        <f t="shared" si="2"/>
        <v>388565.10000000003</v>
      </c>
      <c r="H10" s="203">
        <f t="shared" si="2"/>
        <v>388565.10000000003</v>
      </c>
      <c r="I10" s="208">
        <f t="shared" si="2"/>
        <v>388565.10000000003</v>
      </c>
      <c r="J10" s="230">
        <f t="shared" si="2"/>
        <v>388565.10000000003</v>
      </c>
      <c r="K10" s="203">
        <f t="shared" si="2"/>
        <v>388565.10000000003</v>
      </c>
      <c r="L10" s="203">
        <f t="shared" si="2"/>
        <v>388565.10000000003</v>
      </c>
      <c r="M10" s="208">
        <f t="shared" si="2"/>
        <v>388565.10000000003</v>
      </c>
    </row>
    <row r="11" spans="1:13" ht="14.1" customHeight="1">
      <c r="A11" s="192" t="s">
        <v>45</v>
      </c>
      <c r="B11" s="116"/>
      <c r="C11" s="237">
        <v>1</v>
      </c>
      <c r="D11" s="287">
        <f>C11</f>
        <v>1</v>
      </c>
      <c r="E11" s="138">
        <v>0.7</v>
      </c>
      <c r="F11" s="235">
        <v>0.115</v>
      </c>
      <c r="G11" s="287">
        <f>F11</f>
        <v>0.115</v>
      </c>
      <c r="H11" s="119">
        <f t="shared" ref="H11:M11" si="3">G11</f>
        <v>0.115</v>
      </c>
      <c r="I11" s="238">
        <f t="shared" si="3"/>
        <v>0.115</v>
      </c>
      <c r="J11" s="287">
        <f t="shared" si="3"/>
        <v>0.115</v>
      </c>
      <c r="K11" s="119">
        <f t="shared" si="3"/>
        <v>0.115</v>
      </c>
      <c r="L11" s="119">
        <f t="shared" si="3"/>
        <v>0.115</v>
      </c>
      <c r="M11" s="238">
        <f t="shared" si="3"/>
        <v>0.115</v>
      </c>
    </row>
    <row r="12" spans="1:13" s="396" customFormat="1" ht="13.5" customHeight="1" thickBot="1">
      <c r="A12" s="150" t="s">
        <v>128</v>
      </c>
      <c r="B12" s="71"/>
      <c r="C12" s="314">
        <v>20.72</v>
      </c>
      <c r="D12" s="320">
        <f t="shared" ref="D12:M12" si="4">$C$12*(1+$B$8)^D$4</f>
        <v>21.3416</v>
      </c>
      <c r="E12" s="307">
        <f t="shared" si="4"/>
        <v>21.981847999999999</v>
      </c>
      <c r="F12" s="308">
        <f t="shared" si="4"/>
        <v>22.641303439999998</v>
      </c>
      <c r="G12" s="320">
        <f t="shared" si="4"/>
        <v>23.320542543199998</v>
      </c>
      <c r="H12" s="307">
        <f t="shared" si="4"/>
        <v>24.020158819495997</v>
      </c>
      <c r="I12" s="308">
        <f t="shared" si="4"/>
        <v>24.740763584080877</v>
      </c>
      <c r="J12" s="320">
        <f t="shared" si="4"/>
        <v>25.482986491603306</v>
      </c>
      <c r="K12" s="307">
        <f t="shared" si="4"/>
        <v>26.247476086351401</v>
      </c>
      <c r="L12" s="307">
        <f t="shared" si="4"/>
        <v>27.034900368941944</v>
      </c>
      <c r="M12" s="308">
        <f t="shared" si="4"/>
        <v>27.845947380010202</v>
      </c>
    </row>
    <row r="13" spans="1:13" ht="14.1" customHeight="1" outlineLevel="1">
      <c r="A13" s="352" t="s">
        <v>17</v>
      </c>
      <c r="B13" s="222"/>
      <c r="C13" s="473">
        <f>C10*(1-C11)*C12</f>
        <v>0</v>
      </c>
      <c r="D13" s="266">
        <f t="shared" ref="D13:M13" si="5">D10*(1-D11)*D12</f>
        <v>0</v>
      </c>
      <c r="E13" s="267">
        <f t="shared" si="5"/>
        <v>0</v>
      </c>
      <c r="F13" s="268">
        <f>F10*(1-F11)*F12</f>
        <v>7785893.9967351407</v>
      </c>
      <c r="G13" s="266">
        <f t="shared" si="5"/>
        <v>8019470.8166371947</v>
      </c>
      <c r="H13" s="267">
        <f t="shared" si="5"/>
        <v>8260054.9411363099</v>
      </c>
      <c r="I13" s="268">
        <f t="shared" si="5"/>
        <v>8507856.5893703997</v>
      </c>
      <c r="J13" s="266">
        <f t="shared" si="5"/>
        <v>8763092.2870515119</v>
      </c>
      <c r="K13" s="267">
        <f t="shared" si="5"/>
        <v>9025985.0556630567</v>
      </c>
      <c r="L13" s="267">
        <f t="shared" si="5"/>
        <v>9296764.6073329486</v>
      </c>
      <c r="M13" s="268">
        <f t="shared" si="5"/>
        <v>9575667.5455529373</v>
      </c>
    </row>
    <row r="14" spans="1:13" ht="14.1" customHeight="1" outlineLevel="1">
      <c r="A14" s="192" t="s">
        <v>183</v>
      </c>
      <c r="B14" s="68"/>
      <c r="C14" s="271">
        <f t="shared" ref="C14:M14" si="6">C10*(1-C11)*($D$51*(1+$B$8)^C$4)</f>
        <v>0</v>
      </c>
      <c r="D14" s="269">
        <f t="shared" si="6"/>
        <v>0</v>
      </c>
      <c r="E14" s="258">
        <f t="shared" si="6"/>
        <v>0</v>
      </c>
      <c r="F14" s="270">
        <f t="shared" si="6"/>
        <v>2725062.8988572988</v>
      </c>
      <c r="G14" s="269">
        <f t="shared" si="6"/>
        <v>2806814.7858230178</v>
      </c>
      <c r="H14" s="258">
        <f t="shared" si="6"/>
        <v>2891019.2293977081</v>
      </c>
      <c r="I14" s="270">
        <f t="shared" si="6"/>
        <v>2977749.8062796397</v>
      </c>
      <c r="J14" s="269">
        <f t="shared" si="6"/>
        <v>3067082.300468029</v>
      </c>
      <c r="K14" s="258">
        <f t="shared" si="6"/>
        <v>3159094.7694820692</v>
      </c>
      <c r="L14" s="258">
        <f t="shared" si="6"/>
        <v>3253867.6125665316</v>
      </c>
      <c r="M14" s="270">
        <f t="shared" si="6"/>
        <v>3351483.6409435272</v>
      </c>
    </row>
    <row r="15" spans="1:13" ht="14.1" customHeight="1" outlineLevel="1" thickBot="1">
      <c r="A15" s="150" t="s">
        <v>184</v>
      </c>
      <c r="B15" s="71"/>
      <c r="C15" s="469">
        <f t="shared" ref="C15:M15" si="7">C10*($D$51*(1+$B$8)^C$4)</f>
        <v>0</v>
      </c>
      <c r="D15" s="470">
        <f t="shared" si="7"/>
        <v>0</v>
      </c>
      <c r="E15" s="471">
        <f t="shared" si="7"/>
        <v>0</v>
      </c>
      <c r="F15" s="472">
        <f t="shared" si="7"/>
        <v>3079167.1173528801</v>
      </c>
      <c r="G15" s="470">
        <f t="shared" si="7"/>
        <v>3171542.1308734664</v>
      </c>
      <c r="H15" s="471">
        <f t="shared" si="7"/>
        <v>3266688.3947996702</v>
      </c>
      <c r="I15" s="472">
        <f t="shared" si="7"/>
        <v>3364689.0466436604</v>
      </c>
      <c r="J15" s="470">
        <f t="shared" si="7"/>
        <v>3465629.7180429706</v>
      </c>
      <c r="K15" s="471">
        <f t="shared" si="7"/>
        <v>3569598.6095842593</v>
      </c>
      <c r="L15" s="471">
        <f t="shared" si="7"/>
        <v>3676686.5678717871</v>
      </c>
      <c r="M15" s="472">
        <f t="shared" si="7"/>
        <v>3786987.1649079407</v>
      </c>
    </row>
    <row r="16" spans="1:13">
      <c r="A16" s="66" t="s">
        <v>370</v>
      </c>
      <c r="B16" s="68"/>
      <c r="C16" s="228"/>
      <c r="D16" s="67"/>
      <c r="E16" s="77"/>
      <c r="F16" s="122"/>
      <c r="G16" s="67"/>
      <c r="H16" s="77"/>
      <c r="I16" s="122"/>
      <c r="J16" s="67"/>
      <c r="K16" s="77"/>
      <c r="L16" s="77"/>
      <c r="M16" s="122"/>
    </row>
    <row r="17" spans="1:13" ht="14.1" customHeight="1">
      <c r="A17" s="192" t="s">
        <v>11</v>
      </c>
      <c r="B17" s="138">
        <v>0.03</v>
      </c>
      <c r="C17" s="313"/>
      <c r="D17" s="149"/>
      <c r="E17" s="117"/>
      <c r="F17" s="121"/>
      <c r="G17" s="149"/>
      <c r="H17" s="117"/>
      <c r="I17" s="121"/>
      <c r="J17" s="149"/>
      <c r="K17" s="117"/>
      <c r="L17" s="117"/>
      <c r="M17" s="121"/>
    </row>
    <row r="18" spans="1:13" ht="14.1" customHeight="1">
      <c r="A18" s="192" t="s">
        <v>127</v>
      </c>
      <c r="B18" s="68"/>
      <c r="C18" s="350">
        <v>0</v>
      </c>
      <c r="D18" s="230">
        <f>C18</f>
        <v>0</v>
      </c>
      <c r="E18" s="203">
        <f t="shared" ref="E18:M18" si="8">D18</f>
        <v>0</v>
      </c>
      <c r="F18" s="867">
        <f>E18</f>
        <v>0</v>
      </c>
      <c r="G18" s="230">
        <f t="shared" si="8"/>
        <v>0</v>
      </c>
      <c r="H18" s="203">
        <f>C48</f>
        <v>353510.32799999998</v>
      </c>
      <c r="I18" s="208">
        <f t="shared" si="8"/>
        <v>353510.32799999998</v>
      </c>
      <c r="J18" s="230">
        <f t="shared" si="8"/>
        <v>353510.32799999998</v>
      </c>
      <c r="K18" s="203">
        <f t="shared" si="8"/>
        <v>353510.32799999998</v>
      </c>
      <c r="L18" s="203">
        <f t="shared" si="8"/>
        <v>353510.32799999998</v>
      </c>
      <c r="M18" s="208">
        <f t="shared" si="8"/>
        <v>353510.32799999998</v>
      </c>
    </row>
    <row r="19" spans="1:13" ht="14.1" customHeight="1">
      <c r="A19" s="192" t="s">
        <v>40</v>
      </c>
      <c r="B19" s="138">
        <v>0.9</v>
      </c>
      <c r="C19" s="350">
        <v>0</v>
      </c>
      <c r="D19" s="230">
        <f>C19</f>
        <v>0</v>
      </c>
      <c r="E19" s="203">
        <f t="shared" ref="E19:M19" si="9">D19</f>
        <v>0</v>
      </c>
      <c r="F19" s="208">
        <f>F18*B19</f>
        <v>0</v>
      </c>
      <c r="G19" s="230">
        <f t="shared" si="9"/>
        <v>0</v>
      </c>
      <c r="H19" s="203">
        <f>H18*B19</f>
        <v>318159.29519999999</v>
      </c>
      <c r="I19" s="208">
        <f t="shared" si="9"/>
        <v>318159.29519999999</v>
      </c>
      <c r="J19" s="230">
        <f t="shared" si="9"/>
        <v>318159.29519999999</v>
      </c>
      <c r="K19" s="203">
        <f t="shared" si="9"/>
        <v>318159.29519999999</v>
      </c>
      <c r="L19" s="203">
        <f t="shared" si="9"/>
        <v>318159.29519999999</v>
      </c>
      <c r="M19" s="208">
        <f t="shared" si="9"/>
        <v>318159.29519999999</v>
      </c>
    </row>
    <row r="20" spans="1:13" ht="14.1" customHeight="1">
      <c r="A20" s="192" t="s">
        <v>45</v>
      </c>
      <c r="B20" s="116"/>
      <c r="C20" s="237">
        <v>1</v>
      </c>
      <c r="D20" s="287">
        <f>C20</f>
        <v>1</v>
      </c>
      <c r="E20" s="119">
        <f>D20</f>
        <v>1</v>
      </c>
      <c r="F20" s="235">
        <v>0.5</v>
      </c>
      <c r="G20" s="237">
        <v>0.115</v>
      </c>
      <c r="H20" s="119">
        <f t="shared" ref="H20:M20" si="10">G20</f>
        <v>0.115</v>
      </c>
      <c r="I20" s="238">
        <f t="shared" si="10"/>
        <v>0.115</v>
      </c>
      <c r="J20" s="287">
        <f t="shared" si="10"/>
        <v>0.115</v>
      </c>
      <c r="K20" s="119">
        <f t="shared" si="10"/>
        <v>0.115</v>
      </c>
      <c r="L20" s="119">
        <f t="shared" si="10"/>
        <v>0.115</v>
      </c>
      <c r="M20" s="238">
        <f t="shared" si="10"/>
        <v>0.115</v>
      </c>
    </row>
    <row r="21" spans="1:13" ht="14.1" customHeight="1" thickBot="1">
      <c r="A21" s="192" t="s">
        <v>128</v>
      </c>
      <c r="B21" s="68"/>
      <c r="C21" s="468">
        <v>20.72</v>
      </c>
      <c r="D21" s="231">
        <f t="shared" ref="D21:M21" si="11">$C$12*(1+$B$8)^D$4</f>
        <v>21.3416</v>
      </c>
      <c r="E21" s="218">
        <f t="shared" si="11"/>
        <v>21.981847999999999</v>
      </c>
      <c r="F21" s="219">
        <f t="shared" si="11"/>
        <v>22.641303439999998</v>
      </c>
      <c r="G21" s="231">
        <f t="shared" si="11"/>
        <v>23.320542543199998</v>
      </c>
      <c r="H21" s="218">
        <f t="shared" si="11"/>
        <v>24.020158819495997</v>
      </c>
      <c r="I21" s="219">
        <f t="shared" si="11"/>
        <v>24.740763584080877</v>
      </c>
      <c r="J21" s="231">
        <f t="shared" si="11"/>
        <v>25.482986491603306</v>
      </c>
      <c r="K21" s="218">
        <f t="shared" si="11"/>
        <v>26.247476086351401</v>
      </c>
      <c r="L21" s="218">
        <f t="shared" si="11"/>
        <v>27.034900368941944</v>
      </c>
      <c r="M21" s="219">
        <f t="shared" si="11"/>
        <v>27.845947380010202</v>
      </c>
    </row>
    <row r="22" spans="1:13" ht="14.1" customHeight="1" outlineLevel="1">
      <c r="A22" s="352" t="s">
        <v>17</v>
      </c>
      <c r="B22" s="222"/>
      <c r="C22" s="473">
        <f>C19*(1-C20)*C21</f>
        <v>0</v>
      </c>
      <c r="D22" s="266">
        <f t="shared" ref="D22:M22" si="12">D19*(1-D20)*D21</f>
        <v>0</v>
      </c>
      <c r="E22" s="267">
        <f t="shared" si="12"/>
        <v>0</v>
      </c>
      <c r="F22" s="268">
        <f t="shared" si="12"/>
        <v>0</v>
      </c>
      <c r="G22" s="266">
        <f t="shared" si="12"/>
        <v>0</v>
      </c>
      <c r="H22" s="267">
        <f>H19*(1-H20)*H21</f>
        <v>6763379.5685335761</v>
      </c>
      <c r="I22" s="268">
        <f t="shared" si="12"/>
        <v>6966280.9555895841</v>
      </c>
      <c r="J22" s="266">
        <f t="shared" si="12"/>
        <v>7175269.3842572719</v>
      </c>
      <c r="K22" s="267">
        <f t="shared" si="12"/>
        <v>7390527.4657849893</v>
      </c>
      <c r="L22" s="267">
        <f t="shared" si="12"/>
        <v>7612243.2897585388</v>
      </c>
      <c r="M22" s="268">
        <f t="shared" si="12"/>
        <v>7840610.5884512952</v>
      </c>
    </row>
    <row r="23" spans="1:13" ht="14.1" customHeight="1" outlineLevel="1">
      <c r="A23" s="192" t="s">
        <v>183</v>
      </c>
      <c r="B23" s="68"/>
      <c r="C23" s="271">
        <f t="shared" ref="C23:M23" si="13">C19*(1-C20)*($D$51*(1+$B$17)^C$4)</f>
        <v>0</v>
      </c>
      <c r="D23" s="269">
        <f t="shared" si="13"/>
        <v>0</v>
      </c>
      <c r="E23" s="258">
        <f t="shared" si="13"/>
        <v>0</v>
      </c>
      <c r="F23" s="270">
        <f t="shared" si="13"/>
        <v>0</v>
      </c>
      <c r="G23" s="269">
        <f t="shared" si="13"/>
        <v>0</v>
      </c>
      <c r="H23" s="258">
        <f t="shared" si="13"/>
        <v>2367182.8489867514</v>
      </c>
      <c r="I23" s="270">
        <f t="shared" si="13"/>
        <v>2438198.3344563539</v>
      </c>
      <c r="J23" s="269">
        <f t="shared" si="13"/>
        <v>2511344.2844900452</v>
      </c>
      <c r="K23" s="258">
        <f t="shared" si="13"/>
        <v>2586684.6130247456</v>
      </c>
      <c r="L23" s="258">
        <f t="shared" si="13"/>
        <v>2664285.1514154882</v>
      </c>
      <c r="M23" s="270">
        <f t="shared" si="13"/>
        <v>2744213.7059579529</v>
      </c>
    </row>
    <row r="24" spans="1:13" ht="14.1" customHeight="1" outlineLevel="1" thickBot="1">
      <c r="A24" s="150" t="s">
        <v>184</v>
      </c>
      <c r="B24" s="71"/>
      <c r="C24" s="469">
        <f t="shared" ref="C24:M24" si="14">C19*($D$51*(1+$B$17)^C$4)</f>
        <v>0</v>
      </c>
      <c r="D24" s="470">
        <f t="shared" si="14"/>
        <v>0</v>
      </c>
      <c r="E24" s="471">
        <f t="shared" si="14"/>
        <v>0</v>
      </c>
      <c r="F24" s="472">
        <f t="shared" si="14"/>
        <v>0</v>
      </c>
      <c r="G24" s="470">
        <f t="shared" si="14"/>
        <v>0</v>
      </c>
      <c r="H24" s="471">
        <f t="shared" si="14"/>
        <v>2674782.880211018</v>
      </c>
      <c r="I24" s="472">
        <f t="shared" si="14"/>
        <v>2755026.366617349</v>
      </c>
      <c r="J24" s="470">
        <f t="shared" si="14"/>
        <v>2837677.1576158698</v>
      </c>
      <c r="K24" s="471">
        <f t="shared" si="14"/>
        <v>2922807.4723443454</v>
      </c>
      <c r="L24" s="471">
        <f t="shared" si="14"/>
        <v>3010491.6965146759</v>
      </c>
      <c r="M24" s="472">
        <f t="shared" si="14"/>
        <v>3100806.447410116</v>
      </c>
    </row>
    <row r="25" spans="1:13" ht="13.5" thickBot="1">
      <c r="A25" s="217" t="s">
        <v>0</v>
      </c>
      <c r="B25" s="214"/>
      <c r="C25" s="223"/>
      <c r="D25" s="264"/>
      <c r="E25" s="220"/>
      <c r="F25" s="221"/>
      <c r="G25" s="264"/>
      <c r="H25" s="220"/>
      <c r="I25" s="221"/>
      <c r="J25" s="264"/>
      <c r="K25" s="220"/>
      <c r="L25" s="220"/>
      <c r="M25" s="221"/>
    </row>
    <row r="26" spans="1:13">
      <c r="A26" s="192" t="s">
        <v>17</v>
      </c>
      <c r="B26" s="68"/>
      <c r="C26" s="154">
        <f>SUM(C13,C22)</f>
        <v>0</v>
      </c>
      <c r="D26" s="279">
        <f t="shared" ref="D26:M26" si="15">SUM(D13,D22)</f>
        <v>0</v>
      </c>
      <c r="E26" s="248">
        <f t="shared" si="15"/>
        <v>0</v>
      </c>
      <c r="F26" s="262">
        <f t="shared" si="15"/>
        <v>7785893.9967351407</v>
      </c>
      <c r="G26" s="279">
        <f t="shared" si="15"/>
        <v>8019470.8166371947</v>
      </c>
      <c r="H26" s="248">
        <f t="shared" si="15"/>
        <v>15023434.509669885</v>
      </c>
      <c r="I26" s="262">
        <f t="shared" si="15"/>
        <v>15474137.544959985</v>
      </c>
      <c r="J26" s="279">
        <f t="shared" si="15"/>
        <v>15938361.671308784</v>
      </c>
      <c r="K26" s="248">
        <f t="shared" si="15"/>
        <v>16416512.521448046</v>
      </c>
      <c r="L26" s="248">
        <f t="shared" si="15"/>
        <v>16909007.897091486</v>
      </c>
      <c r="M26" s="262">
        <f t="shared" si="15"/>
        <v>17416278.134004232</v>
      </c>
    </row>
    <row r="27" spans="1:13">
      <c r="A27" s="192" t="s">
        <v>132</v>
      </c>
      <c r="B27" s="68"/>
      <c r="C27" s="155">
        <f>SUM(C14,C23)</f>
        <v>0</v>
      </c>
      <c r="D27" s="269">
        <f t="shared" ref="D27:M27" si="16">SUM(D14,D23)</f>
        <v>0</v>
      </c>
      <c r="E27" s="258">
        <f t="shared" si="16"/>
        <v>0</v>
      </c>
      <c r="F27" s="270">
        <f t="shared" si="16"/>
        <v>2725062.8988572988</v>
      </c>
      <c r="G27" s="269">
        <f t="shared" si="16"/>
        <v>2806814.7858230178</v>
      </c>
      <c r="H27" s="258">
        <f t="shared" si="16"/>
        <v>5258202.078384459</v>
      </c>
      <c r="I27" s="270">
        <f t="shared" si="16"/>
        <v>5415948.1407359932</v>
      </c>
      <c r="J27" s="269">
        <f t="shared" si="16"/>
        <v>5578426.5849580746</v>
      </c>
      <c r="K27" s="258">
        <f t="shared" si="16"/>
        <v>5745779.3825068148</v>
      </c>
      <c r="L27" s="258">
        <f t="shared" si="16"/>
        <v>5918152.7639820203</v>
      </c>
      <c r="M27" s="270">
        <f t="shared" si="16"/>
        <v>6095697.3469014801</v>
      </c>
    </row>
    <row r="28" spans="1:13" s="395" customFormat="1">
      <c r="A28" s="254" t="s">
        <v>133</v>
      </c>
      <c r="B28" s="401"/>
      <c r="C28" s="404">
        <f>-SUM(C15,C24)</f>
        <v>0</v>
      </c>
      <c r="D28" s="405">
        <f t="shared" ref="D28:M28" si="17">-SUM(D15,D24)</f>
        <v>0</v>
      </c>
      <c r="E28" s="402">
        <f t="shared" si="17"/>
        <v>0</v>
      </c>
      <c r="F28" s="403">
        <f t="shared" si="17"/>
        <v>-3079167.1173528801</v>
      </c>
      <c r="G28" s="405">
        <f t="shared" si="17"/>
        <v>-3171542.1308734664</v>
      </c>
      <c r="H28" s="402">
        <f t="shared" si="17"/>
        <v>-5941471.2750106882</v>
      </c>
      <c r="I28" s="403">
        <f t="shared" si="17"/>
        <v>-6119715.4132610094</v>
      </c>
      <c r="J28" s="405">
        <f t="shared" si="17"/>
        <v>-6303306.8756588399</v>
      </c>
      <c r="K28" s="402">
        <f t="shared" si="17"/>
        <v>-6492406.0819286052</v>
      </c>
      <c r="L28" s="402">
        <f t="shared" si="17"/>
        <v>-6687178.264386463</v>
      </c>
      <c r="M28" s="403">
        <f t="shared" si="17"/>
        <v>-6887793.6123180566</v>
      </c>
    </row>
    <row r="29" spans="1:13" ht="14.1" customHeight="1" thickBot="1">
      <c r="A29" s="295" t="s">
        <v>5</v>
      </c>
      <c r="B29" s="71"/>
      <c r="C29" s="281">
        <f>SUM(C26:C28)</f>
        <v>0</v>
      </c>
      <c r="D29" s="282">
        <f t="shared" ref="D29:M29" si="18">SUM(D26:D28)</f>
        <v>0</v>
      </c>
      <c r="E29" s="256">
        <f t="shared" si="18"/>
        <v>0</v>
      </c>
      <c r="F29" s="257">
        <f t="shared" si="18"/>
        <v>7431789.7782395594</v>
      </c>
      <c r="G29" s="282">
        <f t="shared" si="18"/>
        <v>7654743.4715867471</v>
      </c>
      <c r="H29" s="256">
        <f t="shared" si="18"/>
        <v>14340165.313043656</v>
      </c>
      <c r="I29" s="257">
        <f t="shared" si="18"/>
        <v>14770370.272434967</v>
      </c>
      <c r="J29" s="282">
        <f t="shared" si="18"/>
        <v>15213481.380608018</v>
      </c>
      <c r="K29" s="256">
        <f t="shared" si="18"/>
        <v>15669885.822026255</v>
      </c>
      <c r="L29" s="256">
        <f t="shared" si="18"/>
        <v>16139982.396687042</v>
      </c>
      <c r="M29" s="257">
        <f t="shared" si="18"/>
        <v>16624181.868587654</v>
      </c>
    </row>
    <row r="30" spans="1:13" ht="13.5" thickBot="1">
      <c r="A30" s="217" t="s">
        <v>2</v>
      </c>
      <c r="B30" s="214"/>
      <c r="C30" s="223"/>
      <c r="D30" s="264"/>
      <c r="E30" s="220"/>
      <c r="F30" s="221"/>
      <c r="G30" s="264"/>
      <c r="H30" s="220"/>
      <c r="I30" s="221"/>
      <c r="J30" s="264"/>
      <c r="K30" s="220"/>
      <c r="L30" s="220"/>
      <c r="M30" s="221"/>
    </row>
    <row r="31" spans="1:13">
      <c r="A31" s="192" t="s">
        <v>118</v>
      </c>
      <c r="B31" s="68"/>
      <c r="C31" s="239">
        <f>'Summary Board'!F98</f>
        <v>219.93383999999998</v>
      </c>
      <c r="D31" s="231">
        <f>$C$31*(1+$B$8)^D4</f>
        <v>226.53185519999997</v>
      </c>
      <c r="E31" s="218">
        <f t="shared" ref="E31:M31" si="19">$C$31*(1+$B$8)^E4</f>
        <v>233.32781085599996</v>
      </c>
      <c r="F31" s="219">
        <f t="shared" si="19"/>
        <v>240.32764518167997</v>
      </c>
      <c r="G31" s="231">
        <f t="shared" si="19"/>
        <v>247.53747453713035</v>
      </c>
      <c r="H31" s="218">
        <f t="shared" si="19"/>
        <v>254.96359877324426</v>
      </c>
      <c r="I31" s="219">
        <f t="shared" si="19"/>
        <v>262.61250673644162</v>
      </c>
      <c r="J31" s="231">
        <f t="shared" si="19"/>
        <v>270.49088193853487</v>
      </c>
      <c r="K31" s="218">
        <f t="shared" si="19"/>
        <v>278.60560839669085</v>
      </c>
      <c r="L31" s="218">
        <f t="shared" si="19"/>
        <v>286.96377664859159</v>
      </c>
      <c r="M31" s="219">
        <f t="shared" si="19"/>
        <v>295.57268994804934</v>
      </c>
    </row>
    <row r="32" spans="1:13" ht="14.1" customHeight="1">
      <c r="A32" s="192" t="s">
        <v>13</v>
      </c>
      <c r="B32" s="68"/>
      <c r="C32" s="277">
        <f>C33/SUM($C$33:$M$33)</f>
        <v>0</v>
      </c>
      <c r="D32" s="278">
        <f t="shared" ref="D32:M32" si="20">D33/SUM($C$33:$M$33)</f>
        <v>0.33274095622241429</v>
      </c>
      <c r="E32" s="205">
        <f t="shared" si="20"/>
        <v>0.19032462645120024</v>
      </c>
      <c r="F32" s="261">
        <f t="shared" si="20"/>
        <v>0</v>
      </c>
      <c r="G32" s="278">
        <f t="shared" si="20"/>
        <v>0</v>
      </c>
      <c r="H32" s="205">
        <f t="shared" si="20"/>
        <v>0.47693441732638542</v>
      </c>
      <c r="I32" s="261">
        <f t="shared" si="20"/>
        <v>0</v>
      </c>
      <c r="J32" s="278">
        <f t="shared" si="20"/>
        <v>0</v>
      </c>
      <c r="K32" s="205">
        <f t="shared" si="20"/>
        <v>0</v>
      </c>
      <c r="L32" s="205">
        <f t="shared" si="20"/>
        <v>0</v>
      </c>
      <c r="M32" s="261">
        <f t="shared" si="20"/>
        <v>0</v>
      </c>
    </row>
    <row r="33" spans="1:13" ht="14.1" customHeight="1">
      <c r="A33" s="192" t="s">
        <v>2</v>
      </c>
      <c r="B33" s="68"/>
      <c r="C33" s="176">
        <f>'Development Schedule'!D83*C31</f>
        <v>0</v>
      </c>
      <c r="D33" s="331">
        <f>'Development Schedule'!E83*D31</f>
        <v>62882222.578783982</v>
      </c>
      <c r="E33" s="332">
        <f>'Development Schedule'!F83*E31</f>
        <v>35968026.475011051</v>
      </c>
      <c r="F33" s="333">
        <f>'Development Schedule'!G83*F31</f>
        <v>0</v>
      </c>
      <c r="G33" s="331">
        <f>'Development Schedule'!H83*G31</f>
        <v>0</v>
      </c>
      <c r="H33" s="332">
        <f>'Development Schedule'!I83*H31</f>
        <v>90132265.430389971</v>
      </c>
      <c r="I33" s="333">
        <f>'Development Schedule'!J83*I31</f>
        <v>0</v>
      </c>
      <c r="J33" s="331">
        <f>'Development Schedule'!K83*J31</f>
        <v>0</v>
      </c>
      <c r="K33" s="332">
        <f>'Development Schedule'!L83*K31</f>
        <v>0</v>
      </c>
      <c r="L33" s="332">
        <f>'Development Schedule'!M83*L31</f>
        <v>0</v>
      </c>
      <c r="M33" s="333">
        <f>'Development Schedule'!N83*M31</f>
        <v>0</v>
      </c>
    </row>
    <row r="34" spans="1:13" ht="14.1" customHeight="1">
      <c r="A34" s="254" t="s">
        <v>14</v>
      </c>
      <c r="B34" s="259"/>
      <c r="C34" s="184"/>
      <c r="D34" s="280"/>
      <c r="E34" s="260"/>
      <c r="F34" s="263"/>
      <c r="G34" s="280"/>
      <c r="H34" s="260"/>
      <c r="I34" s="263"/>
      <c r="J34" s="280"/>
      <c r="K34" s="260"/>
      <c r="L34" s="260"/>
      <c r="M34" s="263"/>
    </row>
    <row r="35" spans="1:13" ht="14.1" customHeight="1" thickBot="1">
      <c r="A35" s="295" t="s">
        <v>3</v>
      </c>
      <c r="B35" s="71"/>
      <c r="C35" s="282">
        <f>SUM(C33:C34)</f>
        <v>0</v>
      </c>
      <c r="D35" s="282">
        <f t="shared" ref="D35:M35" si="21">SUM(D33:D34)</f>
        <v>62882222.578783982</v>
      </c>
      <c r="E35" s="256">
        <f t="shared" si="21"/>
        <v>35968026.475011051</v>
      </c>
      <c r="F35" s="257">
        <f t="shared" si="21"/>
        <v>0</v>
      </c>
      <c r="G35" s="282">
        <f t="shared" si="21"/>
        <v>0</v>
      </c>
      <c r="H35" s="256">
        <f t="shared" si="21"/>
        <v>90132265.430389971</v>
      </c>
      <c r="I35" s="257">
        <f t="shared" si="21"/>
        <v>0</v>
      </c>
      <c r="J35" s="282">
        <f t="shared" si="21"/>
        <v>0</v>
      </c>
      <c r="K35" s="256">
        <f t="shared" si="21"/>
        <v>0</v>
      </c>
      <c r="L35" s="256">
        <f t="shared" si="21"/>
        <v>0</v>
      </c>
      <c r="M35" s="257">
        <f t="shared" si="21"/>
        <v>0</v>
      </c>
    </row>
    <row r="36" spans="1:13" ht="13.5" thickBot="1">
      <c r="A36" s="217" t="s">
        <v>4</v>
      </c>
      <c r="B36" s="214"/>
      <c r="C36" s="223"/>
      <c r="D36" s="264"/>
      <c r="E36" s="220"/>
      <c r="F36" s="221"/>
      <c r="G36" s="264"/>
      <c r="H36" s="220"/>
      <c r="I36" s="221"/>
      <c r="J36" s="264"/>
      <c r="K36" s="220"/>
      <c r="L36" s="220"/>
      <c r="M36" s="221"/>
    </row>
    <row r="37" spans="1:13" ht="14.1" customHeight="1">
      <c r="A37" s="192" t="s">
        <v>5</v>
      </c>
      <c r="B37" s="68"/>
      <c r="C37" s="154">
        <f>C29</f>
        <v>0</v>
      </c>
      <c r="D37" s="279">
        <f t="shared" ref="D37:M37" si="22">D29</f>
        <v>0</v>
      </c>
      <c r="E37" s="248">
        <f t="shared" si="22"/>
        <v>0</v>
      </c>
      <c r="F37" s="262">
        <f t="shared" si="22"/>
        <v>7431789.7782395594</v>
      </c>
      <c r="G37" s="279">
        <f t="shared" si="22"/>
        <v>7654743.4715867471</v>
      </c>
      <c r="H37" s="248">
        <f t="shared" si="22"/>
        <v>14340165.313043656</v>
      </c>
      <c r="I37" s="262">
        <f t="shared" si="22"/>
        <v>14770370.272434967</v>
      </c>
      <c r="J37" s="279">
        <f t="shared" si="22"/>
        <v>15213481.380608018</v>
      </c>
      <c r="K37" s="248">
        <f t="shared" si="22"/>
        <v>15669885.822026255</v>
      </c>
      <c r="L37" s="248">
        <f t="shared" si="22"/>
        <v>16139982.396687042</v>
      </c>
      <c r="M37" s="262">
        <f t="shared" si="22"/>
        <v>16624181.868587654</v>
      </c>
    </row>
    <row r="38" spans="1:13" ht="14.1" customHeight="1">
      <c r="A38" s="192" t="s">
        <v>60</v>
      </c>
      <c r="B38" s="119">
        <f>D52</f>
        <v>6.2E-2</v>
      </c>
      <c r="C38" s="159">
        <v>0</v>
      </c>
      <c r="D38" s="269">
        <f>C38</f>
        <v>0</v>
      </c>
      <c r="E38" s="258">
        <f t="shared" ref="E38:L39" si="23">D38</f>
        <v>0</v>
      </c>
      <c r="F38" s="270">
        <f t="shared" si="23"/>
        <v>0</v>
      </c>
      <c r="G38" s="269">
        <f t="shared" si="23"/>
        <v>0</v>
      </c>
      <c r="H38" s="258">
        <f t="shared" si="23"/>
        <v>0</v>
      </c>
      <c r="I38" s="270">
        <f t="shared" si="23"/>
        <v>0</v>
      </c>
      <c r="J38" s="269">
        <f t="shared" si="23"/>
        <v>0</v>
      </c>
      <c r="K38" s="258">
        <f t="shared" si="23"/>
        <v>0</v>
      </c>
      <c r="L38" s="258">
        <f t="shared" si="23"/>
        <v>0</v>
      </c>
      <c r="M38" s="270">
        <f>M37/B38</f>
        <v>268131965.62238151</v>
      </c>
    </row>
    <row r="39" spans="1:13" ht="14.1" customHeight="1">
      <c r="A39" s="192" t="s">
        <v>61</v>
      </c>
      <c r="B39" s="119">
        <f>D53</f>
        <v>0.03</v>
      </c>
      <c r="C39" s="159">
        <v>0</v>
      </c>
      <c r="D39" s="269">
        <f>C39</f>
        <v>0</v>
      </c>
      <c r="E39" s="258">
        <f t="shared" si="23"/>
        <v>0</v>
      </c>
      <c r="F39" s="270">
        <f t="shared" si="23"/>
        <v>0</v>
      </c>
      <c r="G39" s="269">
        <f t="shared" si="23"/>
        <v>0</v>
      </c>
      <c r="H39" s="258">
        <f t="shared" si="23"/>
        <v>0</v>
      </c>
      <c r="I39" s="270">
        <f t="shared" si="23"/>
        <v>0</v>
      </c>
      <c r="J39" s="269">
        <f t="shared" si="23"/>
        <v>0</v>
      </c>
      <c r="K39" s="258">
        <f t="shared" si="23"/>
        <v>0</v>
      </c>
      <c r="L39" s="258">
        <f t="shared" si="23"/>
        <v>0</v>
      </c>
      <c r="M39" s="270">
        <f>M38*-B39</f>
        <v>-8043958.9686714448</v>
      </c>
    </row>
    <row r="40" spans="1:13" ht="14.1" customHeight="1">
      <c r="A40" s="254" t="s">
        <v>119</v>
      </c>
      <c r="B40" s="327"/>
      <c r="C40" s="285">
        <f>-C35</f>
        <v>0</v>
      </c>
      <c r="D40" s="286">
        <f t="shared" ref="D40:M40" si="24">-D35</f>
        <v>-62882222.578783982</v>
      </c>
      <c r="E40" s="252">
        <f t="shared" si="24"/>
        <v>-35968026.475011051</v>
      </c>
      <c r="F40" s="255">
        <f t="shared" si="24"/>
        <v>0</v>
      </c>
      <c r="G40" s="286">
        <f t="shared" si="24"/>
        <v>0</v>
      </c>
      <c r="H40" s="252">
        <f t="shared" si="24"/>
        <v>-90132265.430389971</v>
      </c>
      <c r="I40" s="255">
        <f t="shared" si="24"/>
        <v>0</v>
      </c>
      <c r="J40" s="286">
        <f t="shared" si="24"/>
        <v>0</v>
      </c>
      <c r="K40" s="252">
        <f t="shared" si="24"/>
        <v>0</v>
      </c>
      <c r="L40" s="252">
        <f t="shared" si="24"/>
        <v>0</v>
      </c>
      <c r="M40" s="255">
        <f t="shared" si="24"/>
        <v>0</v>
      </c>
    </row>
    <row r="41" spans="1:13" ht="14.1" customHeight="1" thickBot="1">
      <c r="A41" s="295" t="s">
        <v>6</v>
      </c>
      <c r="B41" s="128"/>
      <c r="C41" s="281">
        <f>SUM(C37:C40)</f>
        <v>0</v>
      </c>
      <c r="D41" s="282">
        <f t="shared" ref="D41:M41" si="25">SUM(D37:D40)</f>
        <v>-62882222.578783982</v>
      </c>
      <c r="E41" s="256">
        <f t="shared" si="25"/>
        <v>-35968026.475011051</v>
      </c>
      <c r="F41" s="257">
        <f t="shared" si="25"/>
        <v>7431789.7782395594</v>
      </c>
      <c r="G41" s="282">
        <f t="shared" si="25"/>
        <v>7654743.4715867471</v>
      </c>
      <c r="H41" s="256">
        <f t="shared" si="25"/>
        <v>-75792100.117346317</v>
      </c>
      <c r="I41" s="257">
        <f t="shared" si="25"/>
        <v>14770370.272434967</v>
      </c>
      <c r="J41" s="282">
        <f t="shared" si="25"/>
        <v>15213481.380608018</v>
      </c>
      <c r="K41" s="256">
        <f t="shared" si="25"/>
        <v>15669885.822026255</v>
      </c>
      <c r="L41" s="256">
        <f t="shared" si="25"/>
        <v>16139982.396687042</v>
      </c>
      <c r="M41" s="257">
        <f t="shared" si="25"/>
        <v>276712188.52229774</v>
      </c>
    </row>
    <row r="42" spans="1:13" ht="13.5" thickBot="1">
      <c r="A42" s="125" t="s">
        <v>27</v>
      </c>
      <c r="B42" s="116"/>
      <c r="C42" s="942">
        <f>NPV(D54,D41:M41)</f>
        <v>23249260.001075197</v>
      </c>
      <c r="D42" s="406"/>
      <c r="E42" s="407"/>
      <c r="F42" s="408"/>
      <c r="G42" s="406"/>
      <c r="H42" s="407"/>
      <c r="I42" s="408"/>
      <c r="J42" s="118"/>
      <c r="K42" s="118"/>
      <c r="L42" s="118"/>
      <c r="M42" s="207"/>
    </row>
    <row r="43" spans="1:13" ht="13.5" thickBot="1">
      <c r="A43" s="91" t="s">
        <v>62</v>
      </c>
      <c r="B43" s="169"/>
      <c r="C43" s="292">
        <f>IRR(C41:M41)</f>
        <v>0.11713710951083955</v>
      </c>
      <c r="D43" s="273"/>
      <c r="E43" s="169"/>
      <c r="F43" s="191"/>
      <c r="G43" s="273"/>
      <c r="H43" s="169"/>
      <c r="I43" s="191"/>
      <c r="J43" s="169"/>
      <c r="K43" s="169"/>
      <c r="L43" s="169"/>
      <c r="M43" s="191"/>
    </row>
    <row r="44" spans="1:13" ht="13.5" thickBot="1">
      <c r="A44" s="39"/>
      <c r="B44" s="61"/>
      <c r="C44" s="61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3.5" thickBot="1">
      <c r="A45" s="202" t="s">
        <v>110</v>
      </c>
      <c r="B45" s="175"/>
      <c r="C45" s="175"/>
      <c r="D45" s="201"/>
      <c r="E45" s="39"/>
      <c r="F45" s="39"/>
      <c r="G45" s="39"/>
      <c r="H45" s="39"/>
      <c r="I45" s="39"/>
      <c r="J45" s="39"/>
      <c r="K45" s="39"/>
      <c r="L45" s="39"/>
      <c r="M45" s="39"/>
    </row>
    <row r="46" spans="1:13" ht="13.5" thickBot="1">
      <c r="A46" s="89"/>
      <c r="B46" s="169"/>
      <c r="C46" s="94" t="s">
        <v>129</v>
      </c>
      <c r="D46" s="95" t="s">
        <v>130</v>
      </c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67" t="s">
        <v>371</v>
      </c>
      <c r="B47" s="68"/>
      <c r="C47" s="349">
        <f>'Development Schedule'!C7+'Development Schedule'!C18</f>
        <v>431739</v>
      </c>
      <c r="D47" s="416">
        <f>C47*B10</f>
        <v>388565.10000000003</v>
      </c>
      <c r="E47" s="39"/>
      <c r="F47" s="39"/>
      <c r="G47" s="39"/>
      <c r="H47" s="39"/>
      <c r="I47" s="39"/>
      <c r="J47" s="39"/>
      <c r="K47" s="39"/>
      <c r="L47" s="39"/>
      <c r="M47" s="39"/>
    </row>
    <row r="48" spans="1:13">
      <c r="A48" s="67" t="s">
        <v>370</v>
      </c>
      <c r="B48" s="68"/>
      <c r="C48" s="349">
        <f>'Development Schedule'!C39+'Development Schedule'!C50+'Development Schedule'!C52</f>
        <v>353510.32799999998</v>
      </c>
      <c r="D48" s="208">
        <f>C48*$B$10</f>
        <v>318159.29519999999</v>
      </c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3.5" thickBot="1">
      <c r="A49" s="39"/>
      <c r="B49" s="61"/>
      <c r="C49" s="61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ht="13.5" thickBot="1">
      <c r="A50" s="202" t="s">
        <v>120</v>
      </c>
      <c r="B50" s="275"/>
      <c r="C50" s="275"/>
      <c r="D50" s="276"/>
      <c r="E50" s="39"/>
      <c r="F50" s="39"/>
      <c r="G50" s="39"/>
      <c r="H50" s="39"/>
      <c r="I50" s="39"/>
      <c r="J50" s="39"/>
      <c r="K50" s="39"/>
      <c r="L50" s="39"/>
      <c r="M50" s="39"/>
    </row>
    <row r="51" spans="1:13">
      <c r="A51" s="67" t="s">
        <v>131</v>
      </c>
      <c r="B51" s="68"/>
      <c r="C51" s="68"/>
      <c r="D51" s="838">
        <f>C12*0.35</f>
        <v>7.2519999999999989</v>
      </c>
      <c r="E51" s="39"/>
      <c r="F51" s="39"/>
      <c r="G51" s="39"/>
      <c r="H51" s="39"/>
      <c r="I51" s="39"/>
      <c r="J51" s="39"/>
      <c r="K51" s="39"/>
      <c r="L51" s="39"/>
      <c r="M51" s="39"/>
    </row>
    <row r="52" spans="1:13">
      <c r="A52" s="67" t="s">
        <v>121</v>
      </c>
      <c r="B52" s="68"/>
      <c r="C52" s="68"/>
      <c r="D52" s="400">
        <f>'Summary Board'!K122</f>
        <v>6.2E-2</v>
      </c>
      <c r="E52" s="39"/>
      <c r="F52" s="39"/>
      <c r="G52" s="39"/>
      <c r="H52" s="39"/>
      <c r="I52" s="39"/>
      <c r="J52" s="39"/>
      <c r="K52" s="39"/>
      <c r="L52" s="39"/>
      <c r="M52" s="39"/>
    </row>
    <row r="53" spans="1:13">
      <c r="A53" s="67" t="s">
        <v>122</v>
      </c>
      <c r="B53" s="68"/>
      <c r="C53" s="68"/>
      <c r="D53" s="400">
        <v>0.03</v>
      </c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3.5" thickBot="1">
      <c r="A54" s="70" t="s">
        <v>106</v>
      </c>
      <c r="B54" s="71"/>
      <c r="C54" s="71"/>
      <c r="D54" s="141">
        <v>0.09</v>
      </c>
      <c r="E54" s="39"/>
      <c r="F54" s="39"/>
      <c r="G54" s="39"/>
      <c r="H54" s="39"/>
      <c r="I54" s="39"/>
      <c r="J54" s="39"/>
      <c r="K54" s="39"/>
      <c r="L54" s="39"/>
      <c r="M54" s="39"/>
    </row>
    <row r="55" spans="1:13">
      <c r="A55" s="39"/>
      <c r="B55" s="61"/>
      <c r="C55" s="61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3">
      <c r="A56" s="39"/>
      <c r="B56" s="61"/>
      <c r="C56" s="61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>
      <c r="A57" s="39"/>
      <c r="B57" s="61"/>
      <c r="C57" s="61"/>
      <c r="D57" s="39"/>
      <c r="E57" s="39"/>
      <c r="F57" s="39"/>
      <c r="G57" s="39"/>
      <c r="H57" s="39"/>
      <c r="I57" s="39"/>
      <c r="J57" s="39"/>
      <c r="K57" s="39"/>
      <c r="L57" s="39"/>
      <c r="M57" s="39"/>
    </row>
  </sheetData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view="pageBreakPreview" topLeftCell="A21" zoomScale="85" zoomScaleNormal="100" zoomScaleSheetLayoutView="85" workbookViewId="0">
      <selection activeCell="M28" sqref="M28"/>
    </sheetView>
  </sheetViews>
  <sheetFormatPr defaultColWidth="9.140625" defaultRowHeight="12.75" outlineLevelRow="1"/>
  <cols>
    <col min="1" max="1" width="23.42578125" style="107" customWidth="1"/>
    <col min="2" max="2" width="12.85546875" style="108" customWidth="1"/>
    <col min="3" max="3" width="13.7109375" style="108" customWidth="1"/>
    <col min="4" max="13" width="13.7109375" style="107" customWidth="1"/>
    <col min="14" max="16384" width="9.140625" style="107"/>
  </cols>
  <sheetData>
    <row r="1" spans="1:13" ht="14.1" customHeight="1" thickBot="1">
      <c r="A1" s="39"/>
      <c r="B1" s="61"/>
      <c r="C1" s="6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3" ht="14.1" customHeight="1" thickBot="1">
      <c r="A2" s="39"/>
      <c r="B2" s="61"/>
      <c r="C2" s="61"/>
      <c r="D2" s="39"/>
      <c r="E2" s="39"/>
      <c r="F2" s="39"/>
      <c r="G2" s="39"/>
      <c r="H2" s="39"/>
      <c r="I2" s="39"/>
      <c r="J2" s="39"/>
      <c r="K2" s="39"/>
      <c r="L2" s="392"/>
      <c r="M2" s="393"/>
    </row>
    <row r="3" spans="1:13" ht="14.1" customHeight="1" thickBot="1">
      <c r="A3" s="139"/>
      <c r="B3" s="222"/>
      <c r="C3" s="49" t="s">
        <v>58</v>
      </c>
      <c r="D3" s="114" t="s">
        <v>37</v>
      </c>
      <c r="E3" s="115"/>
      <c r="F3" s="46"/>
      <c r="G3" s="114" t="s">
        <v>80</v>
      </c>
      <c r="H3" s="160"/>
      <c r="I3" s="46"/>
      <c r="J3" s="114" t="s">
        <v>81</v>
      </c>
      <c r="K3" s="44"/>
      <c r="L3" s="45"/>
      <c r="M3" s="46"/>
    </row>
    <row r="4" spans="1:13" ht="14.1" customHeight="1" thickBot="1">
      <c r="A4" s="67"/>
      <c r="B4" s="68"/>
      <c r="C4" s="311">
        <v>0</v>
      </c>
      <c r="D4" s="112">
        <f>C4+1</f>
        <v>1</v>
      </c>
      <c r="E4" s="111">
        <f t="shared" ref="E4:M5" si="0">D4+1</f>
        <v>2</v>
      </c>
      <c r="F4" s="113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2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13" ht="14.1" customHeight="1" thickBot="1">
      <c r="A5" s="67"/>
      <c r="B5" s="394"/>
      <c r="C5" s="397" t="s">
        <v>311</v>
      </c>
      <c r="D5" s="388">
        <v>2019</v>
      </c>
      <c r="E5" s="389">
        <f>D5+1</f>
        <v>2020</v>
      </c>
      <c r="F5" s="391">
        <f t="shared" si="0"/>
        <v>2021</v>
      </c>
      <c r="G5" s="390">
        <f t="shared" si="0"/>
        <v>2022</v>
      </c>
      <c r="H5" s="389">
        <f t="shared" si="0"/>
        <v>2023</v>
      </c>
      <c r="I5" s="391">
        <f t="shared" si="0"/>
        <v>2024</v>
      </c>
      <c r="J5" s="390">
        <f t="shared" si="0"/>
        <v>2025</v>
      </c>
      <c r="K5" s="389">
        <f t="shared" si="0"/>
        <v>2026</v>
      </c>
      <c r="L5" s="389">
        <f>K5+1</f>
        <v>2027</v>
      </c>
      <c r="M5" s="391">
        <f>L5+1</f>
        <v>2028</v>
      </c>
    </row>
    <row r="6" spans="1:13" ht="13.5" thickBot="1">
      <c r="A6" s="217" t="s">
        <v>10</v>
      </c>
      <c r="B6" s="214"/>
      <c r="C6" s="312"/>
      <c r="D6" s="226"/>
      <c r="E6" s="215"/>
      <c r="F6" s="216"/>
      <c r="G6" s="226"/>
      <c r="H6" s="215"/>
      <c r="I6" s="216"/>
      <c r="J6" s="226"/>
      <c r="K6" s="215"/>
      <c r="L6" s="215"/>
      <c r="M6" s="216"/>
    </row>
    <row r="7" spans="1:13">
      <c r="A7" s="344" t="s">
        <v>325</v>
      </c>
      <c r="B7" s="222"/>
      <c r="C7" s="398"/>
      <c r="D7" s="139"/>
      <c r="E7" s="346"/>
      <c r="F7" s="347"/>
      <c r="G7" s="139"/>
      <c r="H7" s="346"/>
      <c r="I7" s="347"/>
      <c r="J7" s="139"/>
      <c r="K7" s="346"/>
      <c r="L7" s="346"/>
      <c r="M7" s="347"/>
    </row>
    <row r="8" spans="1:13" ht="14.1" customHeight="1">
      <c r="A8" s="192" t="s">
        <v>11</v>
      </c>
      <c r="B8" s="138">
        <v>0.03</v>
      </c>
      <c r="C8" s="313"/>
      <c r="D8" s="149"/>
      <c r="E8" s="117"/>
      <c r="F8" s="121"/>
      <c r="G8" s="149"/>
      <c r="H8" s="117"/>
      <c r="I8" s="121"/>
      <c r="J8" s="149"/>
      <c r="K8" s="117"/>
      <c r="L8" s="117"/>
      <c r="M8" s="121"/>
    </row>
    <row r="9" spans="1:13" ht="14.1" customHeight="1">
      <c r="A9" s="192" t="s">
        <v>127</v>
      </c>
      <c r="B9" s="68"/>
      <c r="C9" s="230">
        <v>0</v>
      </c>
      <c r="D9" s="230">
        <f>C9</f>
        <v>0</v>
      </c>
      <c r="E9" s="203">
        <f>C56</f>
        <v>36727</v>
      </c>
      <c r="F9" s="208">
        <f>E9</f>
        <v>36727</v>
      </c>
      <c r="G9" s="230">
        <f t="shared" ref="E9:M11" si="1">F9</f>
        <v>36727</v>
      </c>
      <c r="H9" s="203">
        <f t="shared" si="1"/>
        <v>36727</v>
      </c>
      <c r="I9" s="208">
        <f t="shared" si="1"/>
        <v>36727</v>
      </c>
      <c r="J9" s="230">
        <f t="shared" si="1"/>
        <v>36727</v>
      </c>
      <c r="K9" s="203">
        <f t="shared" si="1"/>
        <v>36727</v>
      </c>
      <c r="L9" s="203">
        <f t="shared" si="1"/>
        <v>36727</v>
      </c>
      <c r="M9" s="208">
        <f t="shared" si="1"/>
        <v>36727</v>
      </c>
    </row>
    <row r="10" spans="1:13" ht="14.1" customHeight="1">
      <c r="A10" s="192" t="s">
        <v>40</v>
      </c>
      <c r="B10" s="842">
        <v>0.9</v>
      </c>
      <c r="C10" s="230">
        <f>C9*B10</f>
        <v>0</v>
      </c>
      <c r="D10" s="230">
        <f>D9*B10</f>
        <v>0</v>
      </c>
      <c r="E10" s="203">
        <f t="shared" si="1"/>
        <v>0</v>
      </c>
      <c r="F10" s="208">
        <f>F9*$B$10</f>
        <v>33054.300000000003</v>
      </c>
      <c r="G10" s="230">
        <f t="shared" ref="G10:M10" si="2">G9*$B$10</f>
        <v>33054.300000000003</v>
      </c>
      <c r="H10" s="203">
        <f t="shared" si="2"/>
        <v>33054.300000000003</v>
      </c>
      <c r="I10" s="208">
        <f t="shared" si="2"/>
        <v>33054.300000000003</v>
      </c>
      <c r="J10" s="230">
        <f t="shared" si="2"/>
        <v>33054.300000000003</v>
      </c>
      <c r="K10" s="203">
        <f t="shared" si="2"/>
        <v>33054.300000000003</v>
      </c>
      <c r="L10" s="203">
        <f t="shared" si="2"/>
        <v>33054.300000000003</v>
      </c>
      <c r="M10" s="208">
        <f t="shared" si="2"/>
        <v>33054.300000000003</v>
      </c>
    </row>
    <row r="11" spans="1:13" ht="14.1" customHeight="1">
      <c r="A11" s="192" t="s">
        <v>45</v>
      </c>
      <c r="B11" s="116"/>
      <c r="C11" s="237">
        <v>1</v>
      </c>
      <c r="D11" s="287">
        <v>1</v>
      </c>
      <c r="E11" s="138">
        <v>0.7</v>
      </c>
      <c r="F11" s="235">
        <v>7.0000000000000007E-2</v>
      </c>
      <c r="G11" s="287">
        <f>F11</f>
        <v>7.0000000000000007E-2</v>
      </c>
      <c r="H11" s="119">
        <f t="shared" si="1"/>
        <v>7.0000000000000007E-2</v>
      </c>
      <c r="I11" s="238">
        <f t="shared" si="1"/>
        <v>7.0000000000000007E-2</v>
      </c>
      <c r="J11" s="287">
        <f t="shared" si="1"/>
        <v>7.0000000000000007E-2</v>
      </c>
      <c r="K11" s="119">
        <f t="shared" si="1"/>
        <v>7.0000000000000007E-2</v>
      </c>
      <c r="L11" s="119">
        <f t="shared" si="1"/>
        <v>7.0000000000000007E-2</v>
      </c>
      <c r="M11" s="238">
        <f t="shared" si="1"/>
        <v>7.0000000000000007E-2</v>
      </c>
    </row>
    <row r="12" spans="1:13" ht="13.5" thickBot="1">
      <c r="A12" s="843" t="s">
        <v>128</v>
      </c>
      <c r="B12" s="71"/>
      <c r="C12" s="314">
        <f>'Summary Board'!K117</f>
        <v>7.649089</v>
      </c>
      <c r="D12" s="320">
        <f>$C$12*(1+$B$8)^D$4</f>
        <v>7.8785616699999999</v>
      </c>
      <c r="E12" s="307">
        <f t="shared" ref="E12:M12" si="3">$C$12*(1+$B$8)^E$4</f>
        <v>8.1149185200999998</v>
      </c>
      <c r="F12" s="308">
        <f t="shared" si="3"/>
        <v>8.3583660757029996</v>
      </c>
      <c r="G12" s="320">
        <f t="shared" si="3"/>
        <v>8.609117057974089</v>
      </c>
      <c r="H12" s="307">
        <f t="shared" si="3"/>
        <v>8.8673905697133115</v>
      </c>
      <c r="I12" s="308">
        <f t="shared" si="3"/>
        <v>9.1334122868047114</v>
      </c>
      <c r="J12" s="320">
        <f t="shared" si="3"/>
        <v>9.4074146554088536</v>
      </c>
      <c r="K12" s="307">
        <f t="shared" si="3"/>
        <v>9.6896370950711184</v>
      </c>
      <c r="L12" s="307">
        <f t="shared" si="3"/>
        <v>9.9803262079232518</v>
      </c>
      <c r="M12" s="308">
        <f t="shared" si="3"/>
        <v>10.27973599416095</v>
      </c>
    </row>
    <row r="13" spans="1:13" ht="14.1" customHeight="1" outlineLevel="1">
      <c r="A13" s="192" t="s">
        <v>17</v>
      </c>
      <c r="B13" s="68"/>
      <c r="C13" s="279">
        <f>C10*(1-C11)*C12</f>
        <v>0</v>
      </c>
      <c r="D13" s="284">
        <f t="shared" ref="D13:M13" si="4">D10*(1-D11)*D12</f>
        <v>0</v>
      </c>
      <c r="E13" s="249">
        <f t="shared" si="4"/>
        <v>0</v>
      </c>
      <c r="F13" s="253">
        <f>F10*(1-F11)*F12</f>
        <v>256940.34399178199</v>
      </c>
      <c r="G13" s="284">
        <f t="shared" si="4"/>
        <v>264648.55431153544</v>
      </c>
      <c r="H13" s="249">
        <f t="shared" si="4"/>
        <v>272588.0109408815</v>
      </c>
      <c r="I13" s="253">
        <f t="shared" si="4"/>
        <v>280765.65126910794</v>
      </c>
      <c r="J13" s="284">
        <f t="shared" si="4"/>
        <v>289188.62080718123</v>
      </c>
      <c r="K13" s="249">
        <f t="shared" si="4"/>
        <v>297864.27943139663</v>
      </c>
      <c r="L13" s="249">
        <f t="shared" si="4"/>
        <v>306800.2078143385</v>
      </c>
      <c r="M13" s="253">
        <f t="shared" si="4"/>
        <v>316004.21404876868</v>
      </c>
    </row>
    <row r="14" spans="1:13" ht="14.1" customHeight="1" outlineLevel="1">
      <c r="A14" s="192" t="s">
        <v>183</v>
      </c>
      <c r="B14" s="68"/>
      <c r="C14" s="271">
        <f t="shared" ref="C14:M14" si="5">C10*(1-C11)*($D$62*(1+$B$8)^C$4)</f>
        <v>0</v>
      </c>
      <c r="D14" s="269">
        <f t="shared" si="5"/>
        <v>0</v>
      </c>
      <c r="E14" s="258">
        <f t="shared" si="5"/>
        <v>0</v>
      </c>
      <c r="F14" s="270">
        <f t="shared" si="5"/>
        <v>77082.103197534598</v>
      </c>
      <c r="G14" s="269">
        <f t="shared" si="5"/>
        <v>79394.566293460623</v>
      </c>
      <c r="H14" s="258">
        <f t="shared" si="5"/>
        <v>81776.403282264451</v>
      </c>
      <c r="I14" s="270">
        <f t="shared" si="5"/>
        <v>84229.695380732373</v>
      </c>
      <c r="J14" s="269">
        <f t="shared" si="5"/>
        <v>86756.586242154357</v>
      </c>
      <c r="K14" s="258">
        <f t="shared" si="5"/>
        <v>89359.283829418971</v>
      </c>
      <c r="L14" s="258">
        <f t="shared" si="5"/>
        <v>92040.06234430155</v>
      </c>
      <c r="M14" s="270">
        <f t="shared" si="5"/>
        <v>94801.264214630603</v>
      </c>
    </row>
    <row r="15" spans="1:13" ht="14.1" customHeight="1" outlineLevel="1" thickBot="1">
      <c r="A15" s="150" t="s">
        <v>184</v>
      </c>
      <c r="B15" s="71"/>
      <c r="C15" s="469">
        <f t="shared" ref="C15:M15" si="6">C10*($D$62*(1+$B$8)^C$4)</f>
        <v>0</v>
      </c>
      <c r="D15" s="470">
        <f t="shared" si="6"/>
        <v>0</v>
      </c>
      <c r="E15" s="471">
        <f t="shared" si="6"/>
        <v>0</v>
      </c>
      <c r="F15" s="472">
        <f t="shared" si="6"/>
        <v>82883.981932832918</v>
      </c>
      <c r="G15" s="470">
        <f t="shared" si="6"/>
        <v>85370.501390817881</v>
      </c>
      <c r="H15" s="471">
        <f t="shared" si="6"/>
        <v>87931.616432542418</v>
      </c>
      <c r="I15" s="472">
        <f t="shared" si="6"/>
        <v>90569.564925518702</v>
      </c>
      <c r="J15" s="470">
        <f t="shared" si="6"/>
        <v>93286.651873284267</v>
      </c>
      <c r="K15" s="471">
        <f t="shared" si="6"/>
        <v>96085.251429482785</v>
      </c>
      <c r="L15" s="471">
        <f t="shared" si="6"/>
        <v>98967.808972367275</v>
      </c>
      <c r="M15" s="472">
        <f t="shared" si="6"/>
        <v>101936.84324153828</v>
      </c>
    </row>
    <row r="16" spans="1:13">
      <c r="A16" s="66" t="s">
        <v>326</v>
      </c>
      <c r="B16" s="68"/>
      <c r="C16" s="228"/>
      <c r="D16" s="67"/>
      <c r="E16" s="77"/>
      <c r="F16" s="122"/>
      <c r="G16" s="67"/>
      <c r="H16" s="77"/>
      <c r="I16" s="122"/>
      <c r="J16" s="67"/>
      <c r="K16" s="77"/>
      <c r="L16" s="77"/>
      <c r="M16" s="122"/>
    </row>
    <row r="17" spans="1:13" ht="14.1" customHeight="1">
      <c r="A17" s="192" t="s">
        <v>11</v>
      </c>
      <c r="B17" s="138">
        <v>0.03</v>
      </c>
      <c r="C17" s="313"/>
      <c r="D17" s="149"/>
      <c r="E17" s="117"/>
      <c r="F17" s="121"/>
      <c r="G17" s="149"/>
      <c r="H17" s="117"/>
      <c r="I17" s="121"/>
      <c r="J17" s="149"/>
      <c r="K17" s="117"/>
      <c r="L17" s="117"/>
      <c r="M17" s="121"/>
    </row>
    <row r="18" spans="1:13" ht="14.1" customHeight="1">
      <c r="A18" s="192" t="s">
        <v>127</v>
      </c>
      <c r="B18" s="68"/>
      <c r="C18" s="350">
        <v>0</v>
      </c>
      <c r="D18" s="230">
        <f>C18</f>
        <v>0</v>
      </c>
      <c r="E18" s="203">
        <f>D18</f>
        <v>0</v>
      </c>
      <c r="F18" s="203">
        <f>E18</f>
        <v>0</v>
      </c>
      <c r="G18" s="230">
        <f>F18</f>
        <v>0</v>
      </c>
      <c r="H18" s="203">
        <f>G18</f>
        <v>0</v>
      </c>
      <c r="I18" s="208">
        <f>C57</f>
        <v>46146</v>
      </c>
      <c r="J18" s="230">
        <f>I18</f>
        <v>46146</v>
      </c>
      <c r="K18" s="203">
        <f>J18</f>
        <v>46146</v>
      </c>
      <c r="L18" s="203">
        <f>K18</f>
        <v>46146</v>
      </c>
      <c r="M18" s="208">
        <f>L18</f>
        <v>46146</v>
      </c>
    </row>
    <row r="19" spans="1:13" ht="14.1" customHeight="1">
      <c r="A19" s="192" t="s">
        <v>40</v>
      </c>
      <c r="B19" s="138">
        <v>0.9</v>
      </c>
      <c r="C19" s="350">
        <v>0</v>
      </c>
      <c r="D19" s="230">
        <f t="shared" ref="D19:M19" si="7">D18*$B$28</f>
        <v>0</v>
      </c>
      <c r="E19" s="203">
        <f t="shared" si="7"/>
        <v>0</v>
      </c>
      <c r="F19" s="208">
        <f t="shared" si="7"/>
        <v>0</v>
      </c>
      <c r="G19" s="230">
        <f t="shared" si="7"/>
        <v>0</v>
      </c>
      <c r="H19" s="203">
        <f t="shared" si="7"/>
        <v>0</v>
      </c>
      <c r="I19" s="208">
        <f t="shared" si="7"/>
        <v>41531.4</v>
      </c>
      <c r="J19" s="230">
        <f t="shared" si="7"/>
        <v>41531.4</v>
      </c>
      <c r="K19" s="203">
        <f t="shared" si="7"/>
        <v>41531.4</v>
      </c>
      <c r="L19" s="203">
        <f t="shared" si="7"/>
        <v>41531.4</v>
      </c>
      <c r="M19" s="208">
        <f t="shared" si="7"/>
        <v>41531.4</v>
      </c>
    </row>
    <row r="20" spans="1:13" ht="14.1" customHeight="1">
      <c r="A20" s="192" t="s">
        <v>45</v>
      </c>
      <c r="B20" s="116"/>
      <c r="C20" s="237">
        <v>1</v>
      </c>
      <c r="D20" s="287">
        <f>C20</f>
        <v>1</v>
      </c>
      <c r="E20" s="119">
        <f>D20</f>
        <v>1</v>
      </c>
      <c r="F20" s="238">
        <f>E20</f>
        <v>1</v>
      </c>
      <c r="G20" s="287">
        <f>F20</f>
        <v>1</v>
      </c>
      <c r="H20" s="119">
        <f>G20</f>
        <v>1</v>
      </c>
      <c r="I20" s="235">
        <v>0.7</v>
      </c>
      <c r="J20" s="237">
        <v>7.0000000000000007E-2</v>
      </c>
      <c r="K20" s="119">
        <f>J20</f>
        <v>7.0000000000000007E-2</v>
      </c>
      <c r="L20" s="119">
        <f>K20</f>
        <v>7.0000000000000007E-2</v>
      </c>
      <c r="M20" s="238">
        <f>L20</f>
        <v>7.0000000000000007E-2</v>
      </c>
    </row>
    <row r="21" spans="1:13" s="396" customFormat="1" ht="13.5" customHeight="1" thickBot="1">
      <c r="A21" s="150" t="s">
        <v>128</v>
      </c>
      <c r="B21" s="71"/>
      <c r="C21" s="314">
        <f>C12</f>
        <v>7.649089</v>
      </c>
      <c r="D21" s="320">
        <f t="shared" ref="D21:M21" si="8">$C$30*(1+$B$26)^D$4</f>
        <v>7.8785616699999999</v>
      </c>
      <c r="E21" s="307">
        <f t="shared" si="8"/>
        <v>8.1149185200999998</v>
      </c>
      <c r="F21" s="308">
        <f t="shared" si="8"/>
        <v>8.3583660757029996</v>
      </c>
      <c r="G21" s="320">
        <f t="shared" si="8"/>
        <v>8.609117057974089</v>
      </c>
      <c r="H21" s="307">
        <f t="shared" si="8"/>
        <v>8.8673905697133115</v>
      </c>
      <c r="I21" s="308">
        <f t="shared" si="8"/>
        <v>9.1334122868047114</v>
      </c>
      <c r="J21" s="320">
        <f t="shared" si="8"/>
        <v>9.4074146554088536</v>
      </c>
      <c r="K21" s="307">
        <f t="shared" si="8"/>
        <v>9.6896370950711184</v>
      </c>
      <c r="L21" s="307">
        <f t="shared" si="8"/>
        <v>9.9803262079232518</v>
      </c>
      <c r="M21" s="308">
        <f t="shared" si="8"/>
        <v>10.27973599416095</v>
      </c>
    </row>
    <row r="22" spans="1:13" ht="14.1" customHeight="1" outlineLevel="1">
      <c r="A22" s="352" t="s">
        <v>17</v>
      </c>
      <c r="B22" s="222"/>
      <c r="C22" s="473">
        <f>C19*(1-C20)*C21</f>
        <v>0</v>
      </c>
      <c r="D22" s="266">
        <f>D19*(1-D20)*D21</f>
        <v>0</v>
      </c>
      <c r="E22" s="267">
        <f>E19*(1-E20)*E21</f>
        <v>0</v>
      </c>
      <c r="F22" s="268">
        <f>F19*(1-F20)*F21</f>
        <v>0</v>
      </c>
      <c r="G22" s="266">
        <f t="shared" ref="G22:M22" si="9">G19*(1-G20)*G21</f>
        <v>0</v>
      </c>
      <c r="H22" s="267">
        <f t="shared" si="9"/>
        <v>0</v>
      </c>
      <c r="I22" s="268">
        <f t="shared" si="9"/>
        <v>113797.01971446037</v>
      </c>
      <c r="J22" s="266">
        <f t="shared" si="9"/>
        <v>363353.88394827192</v>
      </c>
      <c r="K22" s="267">
        <f t="shared" si="9"/>
        <v>374254.50046672008</v>
      </c>
      <c r="L22" s="267">
        <f t="shared" si="9"/>
        <v>385482.13548072166</v>
      </c>
      <c r="M22" s="268">
        <f t="shared" si="9"/>
        <v>397046.59954514331</v>
      </c>
    </row>
    <row r="23" spans="1:13" ht="14.1" customHeight="1" outlineLevel="1">
      <c r="A23" s="192" t="s">
        <v>183</v>
      </c>
      <c r="B23" s="68"/>
      <c r="C23" s="271">
        <f t="shared" ref="C23:M23" si="10">C19*(1-C20)*($D$62*(1+$B$26)^C$4)</f>
        <v>0</v>
      </c>
      <c r="D23" s="269">
        <f t="shared" si="10"/>
        <v>0</v>
      </c>
      <c r="E23" s="258">
        <f t="shared" si="10"/>
        <v>0</v>
      </c>
      <c r="F23" s="270">
        <f t="shared" si="10"/>
        <v>0</v>
      </c>
      <c r="G23" s="269">
        <f t="shared" si="10"/>
        <v>0</v>
      </c>
      <c r="H23" s="258">
        <f t="shared" si="10"/>
        <v>0</v>
      </c>
      <c r="I23" s="270">
        <f t="shared" si="10"/>
        <v>34139.105914338114</v>
      </c>
      <c r="J23" s="269">
        <f t="shared" si="10"/>
        <v>109006.16518448158</v>
      </c>
      <c r="K23" s="258">
        <f t="shared" si="10"/>
        <v>112276.350140016</v>
      </c>
      <c r="L23" s="258">
        <f t="shared" si="10"/>
        <v>115644.6406442165</v>
      </c>
      <c r="M23" s="270">
        <f t="shared" si="10"/>
        <v>119113.97986354299</v>
      </c>
    </row>
    <row r="24" spans="1:13" ht="14.1" customHeight="1" outlineLevel="1" thickBot="1">
      <c r="A24" s="150" t="s">
        <v>184</v>
      </c>
      <c r="B24" s="71"/>
      <c r="C24" s="469">
        <f t="shared" ref="C24:M24" si="11">C19*($D$62*(1+$B$26)^C$4)</f>
        <v>0</v>
      </c>
      <c r="D24" s="470">
        <f t="shared" si="11"/>
        <v>0</v>
      </c>
      <c r="E24" s="471">
        <f t="shared" si="11"/>
        <v>0</v>
      </c>
      <c r="F24" s="472">
        <f t="shared" si="11"/>
        <v>0</v>
      </c>
      <c r="G24" s="470">
        <f t="shared" si="11"/>
        <v>0</v>
      </c>
      <c r="H24" s="471">
        <f t="shared" si="11"/>
        <v>0</v>
      </c>
      <c r="I24" s="472">
        <f t="shared" si="11"/>
        <v>113797.01971446036</v>
      </c>
      <c r="J24" s="470">
        <f t="shared" si="11"/>
        <v>117210.93030589417</v>
      </c>
      <c r="K24" s="471">
        <f t="shared" si="11"/>
        <v>120727.25821507099</v>
      </c>
      <c r="L24" s="471">
        <f t="shared" si="11"/>
        <v>124349.07596152314</v>
      </c>
      <c r="M24" s="472">
        <f t="shared" si="11"/>
        <v>128079.54824036882</v>
      </c>
    </row>
    <row r="25" spans="1:13">
      <c r="A25" s="66" t="s">
        <v>373</v>
      </c>
      <c r="B25" s="68"/>
      <c r="C25" s="228"/>
      <c r="D25" s="67"/>
      <c r="E25" s="77"/>
      <c r="F25" s="122"/>
      <c r="G25" s="67"/>
      <c r="H25" s="77"/>
      <c r="I25" s="122"/>
      <c r="J25" s="67"/>
      <c r="K25" s="77"/>
      <c r="L25" s="77"/>
      <c r="M25" s="122"/>
    </row>
    <row r="26" spans="1:13" ht="14.1" customHeight="1">
      <c r="A26" s="192" t="s">
        <v>11</v>
      </c>
      <c r="B26" s="138">
        <v>0.03</v>
      </c>
      <c r="C26" s="313"/>
      <c r="D26" s="149"/>
      <c r="E26" s="117"/>
      <c r="F26" s="121"/>
      <c r="G26" s="149"/>
      <c r="H26" s="117"/>
      <c r="I26" s="121"/>
      <c r="J26" s="149"/>
      <c r="K26" s="117"/>
      <c r="L26" s="117"/>
      <c r="M26" s="121"/>
    </row>
    <row r="27" spans="1:13" ht="14.1" customHeight="1">
      <c r="A27" s="192" t="s">
        <v>127</v>
      </c>
      <c r="B27" s="68"/>
      <c r="C27" s="350">
        <v>0</v>
      </c>
      <c r="D27" s="230">
        <f t="shared" ref="D27:L27" si="12">C27</f>
        <v>0</v>
      </c>
      <c r="E27" s="203">
        <f t="shared" si="12"/>
        <v>0</v>
      </c>
      <c r="F27" s="203">
        <f t="shared" si="12"/>
        <v>0</v>
      </c>
      <c r="G27" s="230">
        <f t="shared" si="12"/>
        <v>0</v>
      </c>
      <c r="H27" s="203">
        <f t="shared" si="12"/>
        <v>0</v>
      </c>
      <c r="I27" s="203">
        <f>C58</f>
        <v>135709</v>
      </c>
      <c r="J27" s="203">
        <f t="shared" si="12"/>
        <v>135709</v>
      </c>
      <c r="K27" s="203">
        <f t="shared" si="12"/>
        <v>135709</v>
      </c>
      <c r="L27" s="203">
        <f t="shared" si="12"/>
        <v>135709</v>
      </c>
      <c r="M27" s="208">
        <f>C58+C59</f>
        <v>154042</v>
      </c>
    </row>
    <row r="28" spans="1:13" ht="14.1" customHeight="1">
      <c r="A28" s="192" t="s">
        <v>40</v>
      </c>
      <c r="B28" s="138">
        <v>0.9</v>
      </c>
      <c r="C28" s="350">
        <v>0</v>
      </c>
      <c r="D28" s="230">
        <f>D27*$B$28</f>
        <v>0</v>
      </c>
      <c r="E28" s="203">
        <f t="shared" ref="E28:M28" si="13">E27*$B$28</f>
        <v>0</v>
      </c>
      <c r="F28" s="208">
        <f t="shared" si="13"/>
        <v>0</v>
      </c>
      <c r="G28" s="230">
        <f t="shared" si="13"/>
        <v>0</v>
      </c>
      <c r="H28" s="203">
        <f t="shared" si="13"/>
        <v>0</v>
      </c>
      <c r="I28" s="208">
        <f t="shared" si="13"/>
        <v>122138.1</v>
      </c>
      <c r="J28" s="230">
        <f t="shared" si="13"/>
        <v>122138.1</v>
      </c>
      <c r="K28" s="203">
        <f t="shared" si="13"/>
        <v>122138.1</v>
      </c>
      <c r="L28" s="203">
        <f t="shared" si="13"/>
        <v>122138.1</v>
      </c>
      <c r="M28" s="208">
        <f t="shared" si="13"/>
        <v>138637.80000000002</v>
      </c>
    </row>
    <row r="29" spans="1:13" ht="14.1" customHeight="1">
      <c r="A29" s="192" t="s">
        <v>45</v>
      </c>
      <c r="B29" s="116"/>
      <c r="C29" s="237">
        <v>1</v>
      </c>
      <c r="D29" s="287">
        <f>C29</f>
        <v>1</v>
      </c>
      <c r="E29" s="119">
        <f>D29</f>
        <v>1</v>
      </c>
      <c r="F29" s="238">
        <f t="shared" ref="F29:K29" si="14">E29</f>
        <v>1</v>
      </c>
      <c r="G29" s="287">
        <f t="shared" si="14"/>
        <v>1</v>
      </c>
      <c r="H29" s="119">
        <f t="shared" si="14"/>
        <v>1</v>
      </c>
      <c r="I29" s="119">
        <f t="shared" si="14"/>
        <v>1</v>
      </c>
      <c r="J29" s="119">
        <f t="shared" si="14"/>
        <v>1</v>
      </c>
      <c r="K29" s="119">
        <f t="shared" si="14"/>
        <v>1</v>
      </c>
      <c r="L29" s="119">
        <f>K29</f>
        <v>1</v>
      </c>
      <c r="M29" s="235">
        <v>7.0000000000000007E-2</v>
      </c>
    </row>
    <row r="30" spans="1:13" s="396" customFormat="1" ht="13.5" customHeight="1" thickBot="1">
      <c r="A30" s="150" t="s">
        <v>128</v>
      </c>
      <c r="B30" s="71"/>
      <c r="C30" s="314">
        <f>C21</f>
        <v>7.649089</v>
      </c>
      <c r="D30" s="320">
        <f t="shared" ref="D30:M30" si="15">$C$30*(1+$B$26)^D$4</f>
        <v>7.8785616699999999</v>
      </c>
      <c r="E30" s="307">
        <f t="shared" si="15"/>
        <v>8.1149185200999998</v>
      </c>
      <c r="F30" s="308">
        <f t="shared" si="15"/>
        <v>8.3583660757029996</v>
      </c>
      <c r="G30" s="320">
        <f t="shared" si="15"/>
        <v>8.609117057974089</v>
      </c>
      <c r="H30" s="307">
        <f t="shared" si="15"/>
        <v>8.8673905697133115</v>
      </c>
      <c r="I30" s="308">
        <f t="shared" si="15"/>
        <v>9.1334122868047114</v>
      </c>
      <c r="J30" s="320">
        <f t="shared" si="15"/>
        <v>9.4074146554088536</v>
      </c>
      <c r="K30" s="307">
        <f t="shared" si="15"/>
        <v>9.6896370950711184</v>
      </c>
      <c r="L30" s="307">
        <f t="shared" si="15"/>
        <v>9.9803262079232518</v>
      </c>
      <c r="M30" s="308">
        <f t="shared" si="15"/>
        <v>10.27973599416095</v>
      </c>
    </row>
    <row r="31" spans="1:13" ht="14.1" customHeight="1" outlineLevel="1">
      <c r="A31" s="352" t="s">
        <v>17</v>
      </c>
      <c r="B31" s="222"/>
      <c r="C31" s="473">
        <f>C28*(1-C29)*C30</f>
        <v>0</v>
      </c>
      <c r="D31" s="266">
        <f t="shared" ref="D31:M31" si="16">D28*(1-D29)*D30</f>
        <v>0</v>
      </c>
      <c r="E31" s="267">
        <f t="shared" si="16"/>
        <v>0</v>
      </c>
      <c r="F31" s="268">
        <f>F28*(1-F29)*F30</f>
        <v>0</v>
      </c>
      <c r="G31" s="266">
        <f t="shared" si="16"/>
        <v>0</v>
      </c>
      <c r="H31" s="267">
        <f t="shared" si="16"/>
        <v>0</v>
      </c>
      <c r="I31" s="268">
        <f t="shared" si="16"/>
        <v>0</v>
      </c>
      <c r="J31" s="266">
        <f t="shared" si="16"/>
        <v>0</v>
      </c>
      <c r="K31" s="267">
        <f t="shared" si="16"/>
        <v>0</v>
      </c>
      <c r="L31" s="267">
        <f t="shared" si="16"/>
        <v>0</v>
      </c>
      <c r="M31" s="268">
        <f t="shared" si="16"/>
        <v>1325398.784014497</v>
      </c>
    </row>
    <row r="32" spans="1:13" ht="14.1" customHeight="1" outlineLevel="1">
      <c r="A32" s="192" t="s">
        <v>183</v>
      </c>
      <c r="B32" s="68"/>
      <c r="C32" s="271">
        <f t="shared" ref="C32:M32" si="17">C28*(1-C29)*($D$62*(1+$B$26)^C$4)</f>
        <v>0</v>
      </c>
      <c r="D32" s="269">
        <f t="shared" si="17"/>
        <v>0</v>
      </c>
      <c r="E32" s="258">
        <f t="shared" si="17"/>
        <v>0</v>
      </c>
      <c r="F32" s="270">
        <f t="shared" si="17"/>
        <v>0</v>
      </c>
      <c r="G32" s="269">
        <f t="shared" si="17"/>
        <v>0</v>
      </c>
      <c r="H32" s="258">
        <f t="shared" si="17"/>
        <v>0</v>
      </c>
      <c r="I32" s="270">
        <f t="shared" si="17"/>
        <v>0</v>
      </c>
      <c r="J32" s="269">
        <f t="shared" si="17"/>
        <v>0</v>
      </c>
      <c r="K32" s="258">
        <f t="shared" si="17"/>
        <v>0</v>
      </c>
      <c r="L32" s="258">
        <f t="shared" si="17"/>
        <v>0</v>
      </c>
      <c r="M32" s="270">
        <f t="shared" si="17"/>
        <v>397619.63520434906</v>
      </c>
    </row>
    <row r="33" spans="1:13" ht="14.1" customHeight="1" outlineLevel="1" thickBot="1">
      <c r="A33" s="150" t="s">
        <v>184</v>
      </c>
      <c r="B33" s="71"/>
      <c r="C33" s="469">
        <f t="shared" ref="C33:M33" si="18">C28*($D$62*(1+$B$26)^C$4)</f>
        <v>0</v>
      </c>
      <c r="D33" s="470">
        <f t="shared" si="18"/>
        <v>0</v>
      </c>
      <c r="E33" s="471">
        <f t="shared" si="18"/>
        <v>0</v>
      </c>
      <c r="F33" s="472">
        <f t="shared" si="18"/>
        <v>0</v>
      </c>
      <c r="G33" s="470">
        <f t="shared" si="18"/>
        <v>0</v>
      </c>
      <c r="H33" s="471">
        <f t="shared" si="18"/>
        <v>0</v>
      </c>
      <c r="I33" s="472">
        <f t="shared" si="18"/>
        <v>334661.28696809476</v>
      </c>
      <c r="J33" s="470">
        <f t="shared" si="18"/>
        <v>344701.12557713763</v>
      </c>
      <c r="K33" s="471">
        <f t="shared" si="18"/>
        <v>355042.15934445173</v>
      </c>
      <c r="L33" s="471">
        <f t="shared" si="18"/>
        <v>365693.42412478529</v>
      </c>
      <c r="M33" s="472">
        <f t="shared" si="18"/>
        <v>427547.99484338611</v>
      </c>
    </row>
    <row r="34" spans="1:13" ht="13.5" thickBot="1">
      <c r="A34" s="217" t="s">
        <v>0</v>
      </c>
      <c r="B34" s="214"/>
      <c r="C34" s="223"/>
      <c r="D34" s="264"/>
      <c r="E34" s="220"/>
      <c r="F34" s="221"/>
      <c r="G34" s="880"/>
      <c r="H34" s="881"/>
      <c r="I34" s="882"/>
      <c r="J34" s="880"/>
      <c r="K34" s="881"/>
      <c r="L34" s="881"/>
      <c r="M34" s="882"/>
    </row>
    <row r="35" spans="1:13">
      <c r="A35" s="192" t="s">
        <v>17</v>
      </c>
      <c r="B35" s="68"/>
      <c r="C35" s="154">
        <f t="shared" ref="C35:E36" si="19">SUM(C13,C31,)</f>
        <v>0</v>
      </c>
      <c r="D35" s="279">
        <f t="shared" si="19"/>
        <v>0</v>
      </c>
      <c r="E35" s="248">
        <f t="shared" si="19"/>
        <v>0</v>
      </c>
      <c r="F35" s="248">
        <f>SUM(F13,F22,F31,)</f>
        <v>256940.34399178199</v>
      </c>
      <c r="G35" s="473">
        <f t="shared" ref="G35:M35" si="20">SUM(G13,G22,G31,)</f>
        <v>264648.55431153544</v>
      </c>
      <c r="H35" s="484">
        <f t="shared" si="20"/>
        <v>272588.0109408815</v>
      </c>
      <c r="I35" s="484">
        <f t="shared" si="20"/>
        <v>394562.6709835683</v>
      </c>
      <c r="J35" s="473">
        <f t="shared" si="20"/>
        <v>652542.50475545321</v>
      </c>
      <c r="K35" s="484">
        <f t="shared" si="20"/>
        <v>672118.77989811671</v>
      </c>
      <c r="L35" s="484">
        <f t="shared" si="20"/>
        <v>692282.3432950601</v>
      </c>
      <c r="M35" s="485">
        <f t="shared" si="20"/>
        <v>2038449.5976084089</v>
      </c>
    </row>
    <row r="36" spans="1:13">
      <c r="A36" s="192" t="s">
        <v>132</v>
      </c>
      <c r="B36" s="68"/>
      <c r="C36" s="155">
        <f t="shared" si="19"/>
        <v>0</v>
      </c>
      <c r="D36" s="269">
        <f t="shared" si="19"/>
        <v>0</v>
      </c>
      <c r="E36" s="258">
        <f t="shared" si="19"/>
        <v>0</v>
      </c>
      <c r="F36" s="258">
        <f>SUM(F14,F32,F23)</f>
        <v>77082.103197534598</v>
      </c>
      <c r="G36" s="269">
        <f t="shared" ref="G36:M36" si="21">SUM(G14,G32,G23)</f>
        <v>79394.566293460623</v>
      </c>
      <c r="H36" s="258">
        <f t="shared" si="21"/>
        <v>81776.403282264451</v>
      </c>
      <c r="I36" s="258">
        <f t="shared" si="21"/>
        <v>118368.80129507049</v>
      </c>
      <c r="J36" s="269">
        <f t="shared" si="21"/>
        <v>195762.75142663595</v>
      </c>
      <c r="K36" s="258">
        <f t="shared" si="21"/>
        <v>201635.63396943497</v>
      </c>
      <c r="L36" s="258">
        <f t="shared" si="21"/>
        <v>207684.70298851805</v>
      </c>
      <c r="M36" s="270">
        <f t="shared" si="21"/>
        <v>611534.8792825226</v>
      </c>
    </row>
    <row r="37" spans="1:13" s="395" customFormat="1" ht="13.5" thickBot="1">
      <c r="A37" s="254" t="s">
        <v>133</v>
      </c>
      <c r="B37" s="401"/>
      <c r="C37" s="404">
        <f>-SUM(C15,C33,)</f>
        <v>0</v>
      </c>
      <c r="D37" s="405">
        <f>-SUM(D15,D33,)</f>
        <v>0</v>
      </c>
      <c r="E37" s="402">
        <f>-SUM(E15,E33,)</f>
        <v>0</v>
      </c>
      <c r="F37" s="402">
        <f>-SUM(F15,F33,F24)</f>
        <v>-82883.981932832918</v>
      </c>
      <c r="G37" s="883">
        <f t="shared" ref="G37:M37" si="22">-SUM(G15,G33,G24)</f>
        <v>-85370.501390817881</v>
      </c>
      <c r="H37" s="884">
        <f t="shared" si="22"/>
        <v>-87931.616432542418</v>
      </c>
      <c r="I37" s="884">
        <f t="shared" si="22"/>
        <v>-539027.87160807382</v>
      </c>
      <c r="J37" s="883">
        <f t="shared" si="22"/>
        <v>-555198.70775631606</v>
      </c>
      <c r="K37" s="884">
        <f t="shared" si="22"/>
        <v>-571854.6689890055</v>
      </c>
      <c r="L37" s="884">
        <f t="shared" si="22"/>
        <v>-589010.30905867566</v>
      </c>
      <c r="M37" s="885">
        <f t="shared" si="22"/>
        <v>-657564.38632529322</v>
      </c>
    </row>
    <row r="38" spans="1:13" ht="14.1" customHeight="1" thickBot="1">
      <c r="A38" s="832" t="s">
        <v>5</v>
      </c>
      <c r="B38" s="71"/>
      <c r="C38" s="281">
        <f>SUM(C35:C37)</f>
        <v>0</v>
      </c>
      <c r="D38" s="282">
        <f t="shared" ref="D38:M38" si="23">SUM(D35:D37)</f>
        <v>0</v>
      </c>
      <c r="E38" s="256">
        <f t="shared" si="23"/>
        <v>0</v>
      </c>
      <c r="F38" s="257">
        <f t="shared" si="23"/>
        <v>251138.4652564837</v>
      </c>
      <c r="G38" s="282">
        <f t="shared" si="23"/>
        <v>258672.61921417818</v>
      </c>
      <c r="H38" s="256">
        <f t="shared" si="23"/>
        <v>266432.79779060348</v>
      </c>
      <c r="I38" s="257">
        <f t="shared" si="23"/>
        <v>-26096.399329435022</v>
      </c>
      <c r="J38" s="282">
        <f t="shared" si="23"/>
        <v>293106.54842577316</v>
      </c>
      <c r="K38" s="256">
        <f t="shared" si="23"/>
        <v>301899.74487854622</v>
      </c>
      <c r="L38" s="256">
        <f t="shared" si="23"/>
        <v>310956.73722490249</v>
      </c>
      <c r="M38" s="257">
        <f t="shared" si="23"/>
        <v>1992420.0905656382</v>
      </c>
    </row>
    <row r="39" spans="1:13" ht="13.5" thickBot="1">
      <c r="A39" s="217" t="s">
        <v>2</v>
      </c>
      <c r="B39" s="214"/>
      <c r="C39" s="223"/>
      <c r="D39" s="264"/>
      <c r="E39" s="220"/>
      <c r="F39" s="221"/>
      <c r="G39" s="264"/>
      <c r="H39" s="220"/>
      <c r="I39" s="221"/>
      <c r="J39" s="264"/>
      <c r="K39" s="220"/>
      <c r="L39" s="220"/>
      <c r="M39" s="221"/>
    </row>
    <row r="40" spans="1:13">
      <c r="A40" s="192" t="s">
        <v>118</v>
      </c>
      <c r="B40" s="68"/>
      <c r="C40" s="841">
        <f>'Summary Board'!F104</f>
        <v>155.37138000000002</v>
      </c>
      <c r="D40" s="231">
        <f t="shared" ref="D40:M40" si="24">$C$40*(1+$B$8)^D4</f>
        <v>160.03252140000001</v>
      </c>
      <c r="E40" s="218">
        <f t="shared" si="24"/>
        <v>164.833497042</v>
      </c>
      <c r="F40" s="219">
        <f t="shared" si="24"/>
        <v>169.77850195326002</v>
      </c>
      <c r="G40" s="231">
        <f t="shared" si="24"/>
        <v>174.8718570118578</v>
      </c>
      <c r="H40" s="218">
        <f t="shared" si="24"/>
        <v>180.11801272221354</v>
      </c>
      <c r="I40" s="219">
        <f t="shared" si="24"/>
        <v>185.52155310387994</v>
      </c>
      <c r="J40" s="231">
        <f t="shared" si="24"/>
        <v>191.08719969699635</v>
      </c>
      <c r="K40" s="218">
        <f t="shared" si="24"/>
        <v>196.81981568790621</v>
      </c>
      <c r="L40" s="218">
        <f t="shared" si="24"/>
        <v>202.72441015854341</v>
      </c>
      <c r="M40" s="219">
        <f t="shared" si="24"/>
        <v>208.80614246329972</v>
      </c>
    </row>
    <row r="41" spans="1:13" ht="14.1" customHeight="1">
      <c r="A41" s="192" t="s">
        <v>13</v>
      </c>
      <c r="B41" s="68"/>
      <c r="C41" s="277">
        <f>C42/SUM($C$42:$M$42)</f>
        <v>0</v>
      </c>
      <c r="D41" s="278">
        <f t="shared" ref="D41:M41" si="25">D42/SUM($C$42:$M$42)</f>
        <v>0</v>
      </c>
      <c r="E41" s="205">
        <f t="shared" si="25"/>
        <v>0.14207935032682231</v>
      </c>
      <c r="F41" s="261">
        <f t="shared" si="25"/>
        <v>0</v>
      </c>
      <c r="G41" s="278">
        <f t="shared" si="25"/>
        <v>0</v>
      </c>
      <c r="H41" s="205">
        <f t="shared" si="25"/>
        <v>0.70372177219161813</v>
      </c>
      <c r="I41" s="261">
        <f t="shared" si="25"/>
        <v>6.697415045591186E-2</v>
      </c>
      <c r="J41" s="278">
        <f t="shared" si="25"/>
        <v>0</v>
      </c>
      <c r="K41" s="205">
        <f t="shared" si="25"/>
        <v>0</v>
      </c>
      <c r="L41" s="205">
        <f t="shared" si="25"/>
        <v>8.7224727025647736E-2</v>
      </c>
      <c r="M41" s="261">
        <f t="shared" si="25"/>
        <v>0</v>
      </c>
    </row>
    <row r="42" spans="1:13" ht="14.1" customHeight="1">
      <c r="A42" s="192" t="s">
        <v>2</v>
      </c>
      <c r="B42" s="68"/>
      <c r="C42" s="176">
        <f>'Development Schedule'!D82*C40</f>
        <v>0</v>
      </c>
      <c r="D42" s="331">
        <f>'Development Schedule'!E82*D40</f>
        <v>0</v>
      </c>
      <c r="E42" s="332">
        <f>'Development Schedule'!F82*E40</f>
        <v>6053839.8458615346</v>
      </c>
      <c r="F42" s="333">
        <f>'Development Schedule'!G82*F40</f>
        <v>0</v>
      </c>
      <c r="G42" s="331">
        <f>'Development Schedule'!H82*G40</f>
        <v>0</v>
      </c>
      <c r="H42" s="332">
        <f>'Development Schedule'!I82*H40</f>
        <v>29984785.931905054</v>
      </c>
      <c r="I42" s="333">
        <f>'Development Schedule'!J82*I40</f>
        <v>2853692.5298438813</v>
      </c>
      <c r="J42" s="331">
        <f>'Development Schedule'!K82*J40</f>
        <v>0</v>
      </c>
      <c r="K42" s="332">
        <f>'Development Schedule'!L82*K40</f>
        <v>0</v>
      </c>
      <c r="L42" s="332">
        <f>'Development Schedule'!M82*L40</f>
        <v>3716546.6114365761</v>
      </c>
      <c r="M42" s="333">
        <f>'Development Schedule'!N82*M40</f>
        <v>0</v>
      </c>
    </row>
    <row r="43" spans="1:13" ht="14.1" customHeight="1">
      <c r="A43" s="254" t="s">
        <v>14</v>
      </c>
      <c r="B43" s="259"/>
      <c r="C43" s="184"/>
      <c r="D43" s="280"/>
      <c r="E43" s="260"/>
      <c r="F43" s="263"/>
      <c r="G43" s="280"/>
      <c r="H43" s="260"/>
      <c r="I43" s="263"/>
      <c r="J43" s="280"/>
      <c r="K43" s="260"/>
      <c r="L43" s="260"/>
      <c r="M43" s="263"/>
    </row>
    <row r="44" spans="1:13" ht="14.1" customHeight="1" thickBot="1">
      <c r="A44" s="832" t="s">
        <v>3</v>
      </c>
      <c r="B44" s="71"/>
      <c r="C44" s="282">
        <f>SUM(C42:C43)</f>
        <v>0</v>
      </c>
      <c r="D44" s="282">
        <f t="shared" ref="D44:M44" si="26">SUM(D42:D43)</f>
        <v>0</v>
      </c>
      <c r="E44" s="256">
        <f t="shared" si="26"/>
        <v>6053839.8458615346</v>
      </c>
      <c r="F44" s="257">
        <f t="shared" si="26"/>
        <v>0</v>
      </c>
      <c r="G44" s="282">
        <f t="shared" si="26"/>
        <v>0</v>
      </c>
      <c r="H44" s="256">
        <f t="shared" si="26"/>
        <v>29984785.931905054</v>
      </c>
      <c r="I44" s="257">
        <f t="shared" si="26"/>
        <v>2853692.5298438813</v>
      </c>
      <c r="J44" s="282">
        <f t="shared" si="26"/>
        <v>0</v>
      </c>
      <c r="K44" s="256">
        <f t="shared" si="26"/>
        <v>0</v>
      </c>
      <c r="L44" s="256">
        <f t="shared" si="26"/>
        <v>3716546.6114365761</v>
      </c>
      <c r="M44" s="257">
        <f t="shared" si="26"/>
        <v>0</v>
      </c>
    </row>
    <row r="45" spans="1:13" ht="13.5" thickBot="1">
      <c r="A45" s="217" t="s">
        <v>4</v>
      </c>
      <c r="B45" s="214"/>
      <c r="C45" s="223"/>
      <c r="D45" s="264"/>
      <c r="E45" s="220"/>
      <c r="F45" s="221"/>
      <c r="G45" s="264"/>
      <c r="H45" s="220"/>
      <c r="I45" s="221"/>
      <c r="J45" s="264"/>
      <c r="K45" s="220"/>
      <c r="L45" s="220"/>
      <c r="M45" s="221"/>
    </row>
    <row r="46" spans="1:13" ht="14.1" customHeight="1">
      <c r="A46" s="192" t="s">
        <v>5</v>
      </c>
      <c r="B46" s="68"/>
      <c r="C46" s="154">
        <f>C38</f>
        <v>0</v>
      </c>
      <c r="D46" s="279">
        <f t="shared" ref="D46:M46" si="27">D38</f>
        <v>0</v>
      </c>
      <c r="E46" s="248">
        <f t="shared" si="27"/>
        <v>0</v>
      </c>
      <c r="F46" s="262">
        <f t="shared" si="27"/>
        <v>251138.4652564837</v>
      </c>
      <c r="G46" s="279">
        <f t="shared" si="27"/>
        <v>258672.61921417818</v>
      </c>
      <c r="H46" s="248">
        <f t="shared" si="27"/>
        <v>266432.79779060348</v>
      </c>
      <c r="I46" s="262">
        <f t="shared" si="27"/>
        <v>-26096.399329435022</v>
      </c>
      <c r="J46" s="279">
        <f t="shared" si="27"/>
        <v>293106.54842577316</v>
      </c>
      <c r="K46" s="248">
        <f t="shared" si="27"/>
        <v>301899.74487854622</v>
      </c>
      <c r="L46" s="248">
        <f t="shared" si="27"/>
        <v>310956.73722490249</v>
      </c>
      <c r="M46" s="262">
        <f t="shared" si="27"/>
        <v>1992420.0905656382</v>
      </c>
    </row>
    <row r="47" spans="1:13" ht="14.1" customHeight="1">
      <c r="A47" s="192" t="s">
        <v>60</v>
      </c>
      <c r="B47" s="119">
        <f>D63</f>
        <v>6.9000000000000006E-2</v>
      </c>
      <c r="C47" s="159">
        <v>0</v>
      </c>
      <c r="D47" s="269">
        <f>C47</f>
        <v>0</v>
      </c>
      <c r="E47" s="258">
        <f t="shared" ref="E47:L48" si="28">D47</f>
        <v>0</v>
      </c>
      <c r="F47" s="270">
        <f t="shared" si="28"/>
        <v>0</v>
      </c>
      <c r="G47" s="269">
        <f t="shared" si="28"/>
        <v>0</v>
      </c>
      <c r="H47" s="258">
        <f t="shared" si="28"/>
        <v>0</v>
      </c>
      <c r="I47" s="270">
        <f t="shared" si="28"/>
        <v>0</v>
      </c>
      <c r="J47" s="269">
        <f t="shared" si="28"/>
        <v>0</v>
      </c>
      <c r="K47" s="258">
        <f t="shared" si="28"/>
        <v>0</v>
      </c>
      <c r="L47" s="258">
        <f t="shared" si="28"/>
        <v>0</v>
      </c>
      <c r="M47" s="270">
        <f>M46/B47</f>
        <v>28875653.486458521</v>
      </c>
    </row>
    <row r="48" spans="1:13" ht="14.1" customHeight="1">
      <c r="A48" s="192" t="s">
        <v>61</v>
      </c>
      <c r="B48" s="119">
        <f>D64</f>
        <v>0.03</v>
      </c>
      <c r="C48" s="159">
        <v>0</v>
      </c>
      <c r="D48" s="269">
        <f>C48</f>
        <v>0</v>
      </c>
      <c r="E48" s="258">
        <f t="shared" si="28"/>
        <v>0</v>
      </c>
      <c r="F48" s="270">
        <f t="shared" si="28"/>
        <v>0</v>
      </c>
      <c r="G48" s="269">
        <f t="shared" si="28"/>
        <v>0</v>
      </c>
      <c r="H48" s="258">
        <f t="shared" si="28"/>
        <v>0</v>
      </c>
      <c r="I48" s="270">
        <f t="shared" si="28"/>
        <v>0</v>
      </c>
      <c r="J48" s="269">
        <f t="shared" si="28"/>
        <v>0</v>
      </c>
      <c r="K48" s="258">
        <f t="shared" si="28"/>
        <v>0</v>
      </c>
      <c r="L48" s="258">
        <f t="shared" si="28"/>
        <v>0</v>
      </c>
      <c r="M48" s="270">
        <f>M47*-B48</f>
        <v>-866269.60459375556</v>
      </c>
    </row>
    <row r="49" spans="1:13" ht="14.1" customHeight="1">
      <c r="A49" s="254" t="s">
        <v>119</v>
      </c>
      <c r="B49" s="327"/>
      <c r="C49" s="285">
        <f>-C44</f>
        <v>0</v>
      </c>
      <c r="D49" s="286">
        <f t="shared" ref="D49:M49" si="29">-D44</f>
        <v>0</v>
      </c>
      <c r="E49" s="252">
        <f t="shared" si="29"/>
        <v>-6053839.8458615346</v>
      </c>
      <c r="F49" s="255">
        <f t="shared" si="29"/>
        <v>0</v>
      </c>
      <c r="G49" s="286">
        <f t="shared" si="29"/>
        <v>0</v>
      </c>
      <c r="H49" s="252">
        <f t="shared" si="29"/>
        <v>-29984785.931905054</v>
      </c>
      <c r="I49" s="255">
        <f t="shared" si="29"/>
        <v>-2853692.5298438813</v>
      </c>
      <c r="J49" s="286">
        <f t="shared" si="29"/>
        <v>0</v>
      </c>
      <c r="K49" s="252">
        <f t="shared" si="29"/>
        <v>0</v>
      </c>
      <c r="L49" s="252">
        <f t="shared" si="29"/>
        <v>-3716546.6114365761</v>
      </c>
      <c r="M49" s="255">
        <f t="shared" si="29"/>
        <v>0</v>
      </c>
    </row>
    <row r="50" spans="1:13" ht="14.1" customHeight="1" thickBot="1">
      <c r="A50" s="832" t="s">
        <v>6</v>
      </c>
      <c r="B50" s="128"/>
      <c r="C50" s="281">
        <f>SUM(C46:C49)</f>
        <v>0</v>
      </c>
      <c r="D50" s="282">
        <f t="shared" ref="D50:M50" si="30">SUM(D46:D49)</f>
        <v>0</v>
      </c>
      <c r="E50" s="256">
        <f t="shared" si="30"/>
        <v>-6053839.8458615346</v>
      </c>
      <c r="F50" s="257">
        <f t="shared" si="30"/>
        <v>251138.4652564837</v>
      </c>
      <c r="G50" s="282">
        <f t="shared" si="30"/>
        <v>258672.61921417818</v>
      </c>
      <c r="H50" s="256">
        <f t="shared" si="30"/>
        <v>-29718353.134114452</v>
      </c>
      <c r="I50" s="257">
        <f t="shared" si="30"/>
        <v>-2879788.9291733163</v>
      </c>
      <c r="J50" s="282">
        <f t="shared" si="30"/>
        <v>293106.54842577316</v>
      </c>
      <c r="K50" s="256">
        <f t="shared" si="30"/>
        <v>301899.74487854622</v>
      </c>
      <c r="L50" s="256">
        <f t="shared" si="30"/>
        <v>-3405589.8742116736</v>
      </c>
      <c r="M50" s="257">
        <f t="shared" si="30"/>
        <v>30001803.972430404</v>
      </c>
    </row>
    <row r="51" spans="1:13" ht="13.5" thickBot="1">
      <c r="A51" s="125" t="s">
        <v>27</v>
      </c>
      <c r="B51" s="116"/>
      <c r="C51" s="409">
        <f>C50+NPV(D65,D50:M50)</f>
        <v>-14333324.537725136</v>
      </c>
      <c r="D51" s="406"/>
      <c r="E51" s="407"/>
      <c r="F51" s="408"/>
      <c r="G51" s="406"/>
      <c r="H51" s="407"/>
      <c r="I51" s="408"/>
      <c r="J51" s="118"/>
      <c r="K51" s="118"/>
      <c r="L51" s="118"/>
      <c r="M51" s="207"/>
    </row>
    <row r="52" spans="1:13" ht="13.5" thickBot="1">
      <c r="A52" s="91" t="s">
        <v>62</v>
      </c>
      <c r="B52" s="169"/>
      <c r="C52" s="292">
        <f>IRR(C50:M50,0)</f>
        <v>-6.0619801815343877E-2</v>
      </c>
      <c r="D52" s="273"/>
      <c r="E52" s="169"/>
      <c r="F52" s="191"/>
      <c r="G52" s="273"/>
      <c r="H52" s="169"/>
      <c r="I52" s="191"/>
      <c r="J52" s="169"/>
      <c r="K52" s="169"/>
      <c r="L52" s="169"/>
      <c r="M52" s="191"/>
    </row>
    <row r="53" spans="1:13" ht="13.5" thickBot="1">
      <c r="A53" s="39"/>
      <c r="B53" s="61"/>
      <c r="C53" s="61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3.5" thickBot="1">
      <c r="A54" s="202" t="s">
        <v>110</v>
      </c>
      <c r="B54" s="175"/>
      <c r="C54" s="175"/>
      <c r="D54" s="201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3.5" thickBot="1">
      <c r="A55" s="868"/>
      <c r="B55" s="869"/>
      <c r="C55" s="870" t="s">
        <v>129</v>
      </c>
      <c r="D55" s="871" t="s">
        <v>130</v>
      </c>
      <c r="E55" s="39"/>
      <c r="F55" s="39"/>
      <c r="G55" s="39"/>
      <c r="H55" s="39"/>
      <c r="I55" s="39"/>
      <c r="J55" s="39"/>
      <c r="K55" s="39"/>
      <c r="L55" s="39"/>
      <c r="M55" s="39"/>
    </row>
    <row r="56" spans="1:13">
      <c r="A56" s="886" t="s">
        <v>372</v>
      </c>
      <c r="B56" s="887"/>
      <c r="C56" s="888">
        <f>'Development Schedule'!C20</f>
        <v>36727</v>
      </c>
      <c r="D56" s="874">
        <f>C56*$B$28</f>
        <v>33054.300000000003</v>
      </c>
      <c r="E56" s="39"/>
      <c r="F56" s="39"/>
      <c r="G56" s="39"/>
      <c r="H56" s="39"/>
      <c r="I56" s="39"/>
      <c r="J56" s="39"/>
      <c r="K56" s="39"/>
      <c r="L56" s="39"/>
      <c r="M56" s="39"/>
    </row>
    <row r="57" spans="1:13">
      <c r="A57" s="861" t="s">
        <v>326</v>
      </c>
      <c r="B57" s="872"/>
      <c r="C57" s="873">
        <f>'Development Schedule'!C49</f>
        <v>46146</v>
      </c>
      <c r="D57" s="867">
        <f>C57*$B$28</f>
        <v>41531.4</v>
      </c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3.5" thickBot="1">
      <c r="A58" s="875" t="s">
        <v>430</v>
      </c>
      <c r="B58" s="876"/>
      <c r="C58" s="877">
        <f>'Development Schedule'!C68</f>
        <v>135709</v>
      </c>
      <c r="D58" s="878">
        <f>C58*$B$28</f>
        <v>122138.1</v>
      </c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3.5" thickBot="1">
      <c r="A59" s="861" t="s">
        <v>431</v>
      </c>
      <c r="B59" s="872"/>
      <c r="C59" s="877">
        <f>'Development Schedule'!C60</f>
        <v>18333</v>
      </c>
      <c r="D59" s="878">
        <f>C59*$B$28</f>
        <v>16499.7</v>
      </c>
      <c r="E59" s="39"/>
      <c r="F59" s="39"/>
      <c r="G59" s="39"/>
      <c r="H59" s="39"/>
      <c r="I59" s="39"/>
      <c r="J59" s="39"/>
      <c r="K59" s="39"/>
      <c r="L59" s="39"/>
      <c r="M59" s="39"/>
    </row>
    <row r="60" spans="1:13" ht="13.5" thickBot="1">
      <c r="A60" s="39"/>
      <c r="B60" s="61"/>
      <c r="C60" s="61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3.5" thickBot="1">
      <c r="A61" s="202" t="s">
        <v>120</v>
      </c>
      <c r="B61" s="275"/>
      <c r="C61" s="275"/>
      <c r="D61" s="276"/>
      <c r="E61" s="39"/>
      <c r="F61" s="39"/>
      <c r="G61" s="39"/>
      <c r="H61" s="39"/>
      <c r="I61" s="39"/>
      <c r="J61" s="39"/>
      <c r="K61" s="39"/>
      <c r="L61" s="39"/>
      <c r="M61" s="39"/>
    </row>
    <row r="62" spans="1:13">
      <c r="A62" s="67" t="s">
        <v>131</v>
      </c>
      <c r="B62" s="68"/>
      <c r="C62" s="68"/>
      <c r="D62" s="879">
        <f>C30*0.3</f>
        <v>2.2947267</v>
      </c>
      <c r="E62" s="39"/>
      <c r="F62" s="39"/>
      <c r="G62" s="39"/>
      <c r="H62" s="39"/>
      <c r="I62" s="39"/>
      <c r="J62" s="39"/>
      <c r="K62" s="39"/>
      <c r="L62" s="39"/>
      <c r="M62" s="39"/>
    </row>
    <row r="63" spans="1:13">
      <c r="A63" s="67" t="s">
        <v>121</v>
      </c>
      <c r="B63" s="68"/>
      <c r="C63" s="68"/>
      <c r="D63" s="400">
        <f>'Summary Board'!K125</f>
        <v>6.9000000000000006E-2</v>
      </c>
      <c r="E63" s="39"/>
      <c r="F63" s="39"/>
      <c r="G63" s="39"/>
      <c r="H63" s="39"/>
      <c r="I63" s="39"/>
      <c r="J63" s="39"/>
      <c r="K63" s="39"/>
      <c r="L63" s="39"/>
      <c r="M63" s="39"/>
    </row>
    <row r="64" spans="1:13">
      <c r="A64" s="67" t="s">
        <v>122</v>
      </c>
      <c r="B64" s="68"/>
      <c r="C64" s="68"/>
      <c r="D64" s="400">
        <v>0.03</v>
      </c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3.5" thickBot="1">
      <c r="A65" s="70" t="s">
        <v>106</v>
      </c>
      <c r="B65" s="71"/>
      <c r="C65" s="71"/>
      <c r="D65" s="141">
        <v>0.09</v>
      </c>
      <c r="E65" s="39"/>
      <c r="F65" s="39"/>
      <c r="G65" s="39"/>
      <c r="H65" s="39"/>
      <c r="I65" s="39"/>
      <c r="J65" s="39"/>
      <c r="K65" s="39"/>
      <c r="L65" s="39"/>
      <c r="M65" s="39"/>
    </row>
    <row r="66" spans="1:13">
      <c r="A66" s="39"/>
      <c r="B66" s="61"/>
      <c r="C66" s="61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>
      <c r="A67" s="39"/>
      <c r="B67" s="61"/>
      <c r="C67" s="61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>
      <c r="A68" s="39"/>
      <c r="B68" s="61"/>
      <c r="C68" s="61"/>
      <c r="D68" s="39"/>
      <c r="E68" s="39"/>
      <c r="F68" s="39"/>
      <c r="G68" s="39"/>
      <c r="H68" s="39"/>
      <c r="I68" s="39"/>
      <c r="J68" s="39"/>
      <c r="K68" s="39"/>
      <c r="L68" s="39"/>
      <c r="M68" s="39"/>
    </row>
  </sheetData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7"/>
  <sheetViews>
    <sheetView view="pageBreakPreview" topLeftCell="A74" zoomScale="85" zoomScaleNormal="100" zoomScaleSheetLayoutView="85" zoomScalePageLayoutView="85" workbookViewId="0">
      <selection activeCell="F89" sqref="F89"/>
    </sheetView>
  </sheetViews>
  <sheetFormatPr defaultColWidth="9.140625" defaultRowHeight="12.75" outlineLevelRow="1"/>
  <cols>
    <col min="1" max="1" width="23" style="107" customWidth="1"/>
    <col min="2" max="2" width="12.7109375" style="108" customWidth="1"/>
    <col min="3" max="3" width="13.7109375" style="108" customWidth="1"/>
    <col min="4" max="13" width="13.7109375" style="107" customWidth="1"/>
    <col min="14" max="14" width="14.28515625" style="107" bestFit="1" customWidth="1"/>
    <col min="15" max="16384" width="9.140625" style="107"/>
  </cols>
  <sheetData>
    <row r="1" spans="1:22" ht="14.1" customHeight="1" thickBot="1">
      <c r="A1" s="39"/>
      <c r="B1" s="61"/>
      <c r="C1" s="6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22" ht="14.1" customHeight="1" thickBot="1">
      <c r="A2" s="39"/>
      <c r="B2" s="61"/>
      <c r="C2" s="61"/>
      <c r="D2" s="39"/>
      <c r="E2" s="39"/>
      <c r="F2" s="39"/>
      <c r="G2" s="39"/>
      <c r="H2" s="39"/>
      <c r="I2" s="39"/>
      <c r="J2" s="39"/>
      <c r="K2" s="39"/>
      <c r="L2" s="392"/>
      <c r="M2" s="393"/>
    </row>
    <row r="3" spans="1:22" ht="14.1" customHeight="1" thickBot="1">
      <c r="A3" s="139"/>
      <c r="B3" s="222"/>
      <c r="C3" s="145" t="s">
        <v>58</v>
      </c>
      <c r="D3" s="44" t="s">
        <v>37</v>
      </c>
      <c r="E3" s="115"/>
      <c r="F3" s="45"/>
      <c r="G3" s="114" t="s">
        <v>80</v>
      </c>
      <c r="H3" s="160"/>
      <c r="I3" s="46"/>
      <c r="J3" s="44" t="s">
        <v>81</v>
      </c>
      <c r="K3" s="44"/>
      <c r="L3" s="45"/>
      <c r="M3" s="46"/>
    </row>
    <row r="4" spans="1:22" ht="14.1" customHeight="1" thickBot="1">
      <c r="A4" s="67"/>
      <c r="B4" s="68"/>
      <c r="C4" s="153">
        <v>0</v>
      </c>
      <c r="D4" s="111">
        <f>C4+1</f>
        <v>1</v>
      </c>
      <c r="E4" s="111">
        <f t="shared" ref="E4:M5" si="0">D4+1</f>
        <v>2</v>
      </c>
      <c r="F4" s="111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1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22" ht="14.1" customHeight="1" thickBot="1">
      <c r="A5" s="70"/>
      <c r="B5" s="152"/>
      <c r="C5" s="153" t="s">
        <v>311</v>
      </c>
      <c r="D5" s="411">
        <v>2019</v>
      </c>
      <c r="E5" s="111">
        <f>D5+1</f>
        <v>2020</v>
      </c>
      <c r="F5" s="111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1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</row>
    <row r="6" spans="1:22" ht="13.5" thickBot="1">
      <c r="A6" s="217" t="s">
        <v>10</v>
      </c>
      <c r="B6" s="214"/>
      <c r="C6" s="223"/>
      <c r="D6" s="215"/>
      <c r="E6" s="215"/>
      <c r="F6" s="215"/>
      <c r="G6" s="226"/>
      <c r="H6" s="215"/>
      <c r="I6" s="216"/>
      <c r="J6" s="215"/>
      <c r="K6" s="215"/>
      <c r="L6" s="215"/>
      <c r="M6" s="216"/>
    </row>
    <row r="7" spans="1:22" ht="14.1" customHeight="1">
      <c r="A7" s="344" t="s">
        <v>376</v>
      </c>
      <c r="B7" s="222"/>
      <c r="C7" s="345"/>
      <c r="D7" s="346"/>
      <c r="E7" s="346"/>
      <c r="F7" s="346"/>
      <c r="G7" s="139"/>
      <c r="H7" s="346"/>
      <c r="I7" s="347"/>
      <c r="J7" s="346"/>
      <c r="K7" s="346"/>
      <c r="L7" s="346"/>
      <c r="M7" s="347"/>
    </row>
    <row r="8" spans="1:22" ht="14.1" customHeight="1">
      <c r="A8" s="192" t="s">
        <v>11</v>
      </c>
      <c r="B8" s="138">
        <v>0.03</v>
      </c>
      <c r="C8" s="146"/>
      <c r="D8" s="117"/>
      <c r="E8" s="117"/>
      <c r="F8" s="117"/>
      <c r="G8" s="149"/>
      <c r="H8" s="117"/>
      <c r="I8" s="121"/>
      <c r="J8" s="117"/>
      <c r="K8" s="117"/>
      <c r="L8" s="117"/>
      <c r="M8" s="121"/>
    </row>
    <row r="9" spans="1:22" ht="14.1" customHeight="1">
      <c r="A9" s="192" t="s">
        <v>127</v>
      </c>
      <c r="B9" s="68"/>
      <c r="C9" s="412">
        <v>0</v>
      </c>
      <c r="D9" s="203">
        <f>C9</f>
        <v>0</v>
      </c>
      <c r="E9" s="203">
        <f>C103</f>
        <v>32635</v>
      </c>
      <c r="F9" s="203">
        <f t="shared" ref="F9:M11" si="1">E9</f>
        <v>32635</v>
      </c>
      <c r="G9" s="230">
        <f t="shared" si="1"/>
        <v>32635</v>
      </c>
      <c r="H9" s="203">
        <f t="shared" si="1"/>
        <v>32635</v>
      </c>
      <c r="I9" s="208">
        <f t="shared" si="1"/>
        <v>32635</v>
      </c>
      <c r="J9" s="203">
        <f t="shared" si="1"/>
        <v>32635</v>
      </c>
      <c r="K9" s="203">
        <f t="shared" si="1"/>
        <v>32635</v>
      </c>
      <c r="L9" s="203">
        <f t="shared" si="1"/>
        <v>32635</v>
      </c>
      <c r="M9" s="208">
        <f t="shared" si="1"/>
        <v>32635</v>
      </c>
    </row>
    <row r="10" spans="1:22" ht="14.1" customHeight="1">
      <c r="A10" s="192" t="s">
        <v>40</v>
      </c>
      <c r="B10" s="138">
        <v>0.9</v>
      </c>
      <c r="C10" s="413">
        <f>C9*$B$10</f>
        <v>0</v>
      </c>
      <c r="D10" s="203">
        <f>D9*$B$10</f>
        <v>0</v>
      </c>
      <c r="E10" s="203">
        <f t="shared" ref="E10:M10" si="2">E9*$B$10</f>
        <v>29371.5</v>
      </c>
      <c r="F10" s="203">
        <f t="shared" si="2"/>
        <v>29371.5</v>
      </c>
      <c r="G10" s="230">
        <f t="shared" si="2"/>
        <v>29371.5</v>
      </c>
      <c r="H10" s="203">
        <f t="shared" si="2"/>
        <v>29371.5</v>
      </c>
      <c r="I10" s="208">
        <f t="shared" si="2"/>
        <v>29371.5</v>
      </c>
      <c r="J10" s="203">
        <f t="shared" si="2"/>
        <v>29371.5</v>
      </c>
      <c r="K10" s="203">
        <f t="shared" si="2"/>
        <v>29371.5</v>
      </c>
      <c r="L10" s="203">
        <f t="shared" si="2"/>
        <v>29371.5</v>
      </c>
      <c r="M10" s="208">
        <f t="shared" si="2"/>
        <v>29371.5</v>
      </c>
    </row>
    <row r="11" spans="1:22" ht="14.1" customHeight="1">
      <c r="A11" s="192" t="s">
        <v>45</v>
      </c>
      <c r="B11" s="116"/>
      <c r="C11" s="414">
        <v>1</v>
      </c>
      <c r="D11" s="119">
        <v>0</v>
      </c>
      <c r="E11" s="138">
        <v>0.3</v>
      </c>
      <c r="F11" s="119">
        <v>0.05</v>
      </c>
      <c r="G11" s="287">
        <f t="shared" si="1"/>
        <v>0.05</v>
      </c>
      <c r="H11" s="119">
        <f t="shared" si="1"/>
        <v>0.05</v>
      </c>
      <c r="I11" s="238">
        <f t="shared" si="1"/>
        <v>0.05</v>
      </c>
      <c r="J11" s="119">
        <f t="shared" si="1"/>
        <v>0.05</v>
      </c>
      <c r="K11" s="119">
        <f t="shared" si="1"/>
        <v>0.05</v>
      </c>
      <c r="L11" s="119">
        <f t="shared" si="1"/>
        <v>0.05</v>
      </c>
      <c r="M11" s="238">
        <f t="shared" si="1"/>
        <v>0.05</v>
      </c>
    </row>
    <row r="12" spans="1:22" s="396" customFormat="1" ht="13.5" thickBot="1">
      <c r="A12" s="150" t="s">
        <v>128</v>
      </c>
      <c r="B12" s="71"/>
      <c r="C12" s="924">
        <f>'Summary Board'!K111</f>
        <v>30</v>
      </c>
      <c r="D12" s="307">
        <f>$C$12*(1+$B$8)^D$4</f>
        <v>30.900000000000002</v>
      </c>
      <c r="E12" s="307">
        <f t="shared" ref="E12:M12" si="3">$C$12*(1+$B$8)^E$4</f>
        <v>31.826999999999998</v>
      </c>
      <c r="F12" s="307">
        <f t="shared" si="3"/>
        <v>32.78181</v>
      </c>
      <c r="G12" s="320">
        <f t="shared" si="3"/>
        <v>33.765264299999998</v>
      </c>
      <c r="H12" s="307">
        <f t="shared" si="3"/>
        <v>34.778222228999994</v>
      </c>
      <c r="I12" s="308">
        <f t="shared" si="3"/>
        <v>35.821568895869994</v>
      </c>
      <c r="J12" s="307">
        <f t="shared" si="3"/>
        <v>36.896215962746098</v>
      </c>
      <c r="K12" s="307">
        <f t="shared" si="3"/>
        <v>38.003102441628478</v>
      </c>
      <c r="L12" s="307">
        <f t="shared" si="3"/>
        <v>39.143195514877334</v>
      </c>
      <c r="M12" s="308">
        <f t="shared" si="3"/>
        <v>40.317491380323652</v>
      </c>
      <c r="N12" s="475"/>
      <c r="O12" s="475"/>
      <c r="P12" s="475"/>
      <c r="Q12" s="475"/>
      <c r="R12" s="475"/>
      <c r="S12" s="475"/>
      <c r="T12" s="475"/>
      <c r="U12" s="475"/>
      <c r="V12" s="475"/>
    </row>
    <row r="13" spans="1:22" s="396" customFormat="1" outlineLevel="1">
      <c r="A13" s="352" t="s">
        <v>17</v>
      </c>
      <c r="B13" s="222"/>
      <c r="C13" s="265">
        <f>C10*(1-C11)*C12</f>
        <v>0</v>
      </c>
      <c r="D13" s="267">
        <f>D10*(1-D11)*D12</f>
        <v>0</v>
      </c>
      <c r="E13" s="267">
        <f>E10*(1-E11)*E12</f>
        <v>654364.71134999988</v>
      </c>
      <c r="F13" s="267">
        <f t="shared" ref="F13:M13" si="4">F10*(1-F11)*F12</f>
        <v>914708.38579424995</v>
      </c>
      <c r="G13" s="266">
        <f t="shared" si="4"/>
        <v>942149.63736807741</v>
      </c>
      <c r="H13" s="267">
        <f t="shared" si="4"/>
        <v>970414.1264891196</v>
      </c>
      <c r="I13" s="268">
        <f t="shared" si="4"/>
        <v>999526.55028379324</v>
      </c>
      <c r="J13" s="267">
        <f t="shared" si="4"/>
        <v>1029512.3467923071</v>
      </c>
      <c r="K13" s="267">
        <f t="shared" si="4"/>
        <v>1060397.7171960762</v>
      </c>
      <c r="L13" s="267">
        <f t="shared" si="4"/>
        <v>1092209.6487119587</v>
      </c>
      <c r="M13" s="268">
        <f t="shared" si="4"/>
        <v>1124975.9381733174</v>
      </c>
      <c r="N13" s="475"/>
      <c r="O13" s="475"/>
      <c r="P13" s="475"/>
      <c r="Q13" s="475"/>
      <c r="R13" s="475"/>
      <c r="S13" s="475"/>
      <c r="T13" s="475"/>
      <c r="U13" s="475"/>
      <c r="V13" s="475"/>
    </row>
    <row r="14" spans="1:22" s="396" customFormat="1" outlineLevel="1">
      <c r="A14" s="192" t="s">
        <v>183</v>
      </c>
      <c r="B14" s="68"/>
      <c r="C14" s="159">
        <f t="shared" ref="C14:M14" si="5">C10*(1-C11)*($D$113*(1+$B8)^C$4)</f>
        <v>0</v>
      </c>
      <c r="D14" s="258">
        <f>D10*(1-D11)*($D$113*(1+$B8)^D$4)</f>
        <v>0</v>
      </c>
      <c r="E14" s="258">
        <f>E10*(1-E11)*($D$113*(1+$B8)^E$4)</f>
        <v>196309.413405</v>
      </c>
      <c r="F14" s="258">
        <f t="shared" si="5"/>
        <v>274412.51573827502</v>
      </c>
      <c r="G14" s="269">
        <f t="shared" si="5"/>
        <v>282644.8912104232</v>
      </c>
      <c r="H14" s="258">
        <f t="shared" si="5"/>
        <v>291124.23794673593</v>
      </c>
      <c r="I14" s="270">
        <f t="shared" si="5"/>
        <v>299857.96508513798</v>
      </c>
      <c r="J14" s="258">
        <f t="shared" si="5"/>
        <v>308853.70403769217</v>
      </c>
      <c r="K14" s="258">
        <f t="shared" si="5"/>
        <v>318119.31515882286</v>
      </c>
      <c r="L14" s="258">
        <f t="shared" si="5"/>
        <v>327662.89461358759</v>
      </c>
      <c r="M14" s="270">
        <f t="shared" si="5"/>
        <v>337492.78145199525</v>
      </c>
      <c r="N14" s="475"/>
      <c r="O14" s="475"/>
      <c r="P14" s="475"/>
      <c r="Q14" s="475"/>
      <c r="R14" s="475"/>
      <c r="S14" s="475"/>
      <c r="T14" s="475"/>
      <c r="U14" s="475"/>
      <c r="V14" s="475"/>
    </row>
    <row r="15" spans="1:22" s="396" customFormat="1" ht="13.5" outlineLevel="1" thickBot="1">
      <c r="A15" s="150" t="s">
        <v>184</v>
      </c>
      <c r="B15" s="71"/>
      <c r="C15" s="476">
        <f t="shared" ref="C15:M15" si="6">C10*($D$113*(1+$B8)^C$4)</f>
        <v>0</v>
      </c>
      <c r="D15" s="471">
        <f t="shared" si="6"/>
        <v>0</v>
      </c>
      <c r="E15" s="471">
        <f t="shared" si="6"/>
        <v>280442.01915000001</v>
      </c>
      <c r="F15" s="471">
        <f t="shared" si="6"/>
        <v>288855.27972450003</v>
      </c>
      <c r="G15" s="470">
        <f t="shared" si="6"/>
        <v>297520.93811623496</v>
      </c>
      <c r="H15" s="471">
        <f t="shared" si="6"/>
        <v>306446.56625972205</v>
      </c>
      <c r="I15" s="472">
        <f t="shared" si="6"/>
        <v>315639.96324751369</v>
      </c>
      <c r="J15" s="471">
        <f t="shared" si="6"/>
        <v>325109.16214493912</v>
      </c>
      <c r="K15" s="471">
        <f t="shared" si="6"/>
        <v>334862.43700928724</v>
      </c>
      <c r="L15" s="471">
        <f t="shared" si="6"/>
        <v>344908.31011956587</v>
      </c>
      <c r="M15" s="472">
        <f t="shared" si="6"/>
        <v>355255.55942315288</v>
      </c>
      <c r="N15" s="475"/>
      <c r="O15" s="475"/>
      <c r="P15" s="475"/>
      <c r="Q15" s="475"/>
      <c r="R15" s="475"/>
      <c r="S15" s="475"/>
      <c r="T15" s="475"/>
      <c r="U15" s="475"/>
      <c r="V15" s="475"/>
    </row>
    <row r="16" spans="1:22" ht="14.1" customHeight="1">
      <c r="A16" s="66" t="s">
        <v>374</v>
      </c>
      <c r="B16" s="68"/>
      <c r="C16" s="147"/>
      <c r="D16" s="77"/>
      <c r="E16" s="77"/>
      <c r="F16" s="77"/>
      <c r="G16" s="67"/>
      <c r="H16" s="77"/>
      <c r="I16" s="122"/>
      <c r="J16" s="77"/>
      <c r="K16" s="77"/>
      <c r="L16" s="77"/>
      <c r="M16" s="122"/>
    </row>
    <row r="17" spans="1:22" ht="14.1" customHeight="1">
      <c r="A17" s="192" t="s">
        <v>11</v>
      </c>
      <c r="B17" s="138">
        <v>0.03</v>
      </c>
      <c r="C17" s="146"/>
      <c r="D17" s="117"/>
      <c r="E17" s="117"/>
      <c r="F17" s="117"/>
      <c r="G17" s="149"/>
      <c r="H17" s="117"/>
      <c r="I17" s="121"/>
      <c r="J17" s="117"/>
      <c r="K17" s="117"/>
      <c r="L17" s="117"/>
      <c r="M17" s="121"/>
    </row>
    <row r="18" spans="1:22" ht="14.1" customHeight="1">
      <c r="A18" s="192" t="s">
        <v>127</v>
      </c>
      <c r="B18" s="68"/>
      <c r="C18" s="412">
        <v>0</v>
      </c>
      <c r="D18" s="203">
        <f>C18</f>
        <v>0</v>
      </c>
      <c r="E18" s="203">
        <f>C104</f>
        <v>45000</v>
      </c>
      <c r="F18" s="203">
        <f t="shared" ref="F18:M18" si="7">E18</f>
        <v>45000</v>
      </c>
      <c r="G18" s="230">
        <f t="shared" si="7"/>
        <v>45000</v>
      </c>
      <c r="H18" s="203">
        <f t="shared" si="7"/>
        <v>45000</v>
      </c>
      <c r="I18" s="208">
        <f t="shared" si="7"/>
        <v>45000</v>
      </c>
      <c r="J18" s="203">
        <f t="shared" si="7"/>
        <v>45000</v>
      </c>
      <c r="K18" s="203">
        <f t="shared" si="7"/>
        <v>45000</v>
      </c>
      <c r="L18" s="203">
        <f t="shared" si="7"/>
        <v>45000</v>
      </c>
      <c r="M18" s="208">
        <f t="shared" si="7"/>
        <v>45000</v>
      </c>
    </row>
    <row r="19" spans="1:22" ht="14.1" customHeight="1">
      <c r="A19" s="192" t="s">
        <v>40</v>
      </c>
      <c r="B19" s="138">
        <v>0.9</v>
      </c>
      <c r="C19" s="413">
        <f>C18*$B$19</f>
        <v>0</v>
      </c>
      <c r="D19" s="203">
        <f t="shared" ref="D19:M19" si="8">D18*$B$19</f>
        <v>0</v>
      </c>
      <c r="E19" s="203">
        <f t="shared" si="8"/>
        <v>40500</v>
      </c>
      <c r="F19" s="203">
        <f t="shared" si="8"/>
        <v>40500</v>
      </c>
      <c r="G19" s="230">
        <f t="shared" si="8"/>
        <v>40500</v>
      </c>
      <c r="H19" s="203">
        <f t="shared" si="8"/>
        <v>40500</v>
      </c>
      <c r="I19" s="208">
        <f t="shared" si="8"/>
        <v>40500</v>
      </c>
      <c r="J19" s="203">
        <f t="shared" si="8"/>
        <v>40500</v>
      </c>
      <c r="K19" s="203">
        <f t="shared" si="8"/>
        <v>40500</v>
      </c>
      <c r="L19" s="203">
        <f t="shared" si="8"/>
        <v>40500</v>
      </c>
      <c r="M19" s="208">
        <f t="shared" si="8"/>
        <v>40500</v>
      </c>
    </row>
    <row r="20" spans="1:22" ht="14.1" customHeight="1">
      <c r="A20" s="192" t="s">
        <v>45</v>
      </c>
      <c r="B20" s="116"/>
      <c r="C20" s="414">
        <v>1</v>
      </c>
      <c r="D20" s="119">
        <f>C20</f>
        <v>1</v>
      </c>
      <c r="E20" s="138">
        <v>0.3</v>
      </c>
      <c r="F20" s="138">
        <v>0.05</v>
      </c>
      <c r="G20" s="287">
        <f t="shared" ref="G20:M20" si="9">F20</f>
        <v>0.05</v>
      </c>
      <c r="H20" s="119">
        <f t="shared" si="9"/>
        <v>0.05</v>
      </c>
      <c r="I20" s="238">
        <f t="shared" si="9"/>
        <v>0.05</v>
      </c>
      <c r="J20" s="119">
        <f t="shared" si="9"/>
        <v>0.05</v>
      </c>
      <c r="K20" s="119">
        <f t="shared" si="9"/>
        <v>0.05</v>
      </c>
      <c r="L20" s="119">
        <f t="shared" si="9"/>
        <v>0.05</v>
      </c>
      <c r="M20" s="238">
        <f t="shared" si="9"/>
        <v>0.05</v>
      </c>
    </row>
    <row r="21" spans="1:22" ht="13.5" thickBot="1">
      <c r="A21" s="150" t="s">
        <v>128</v>
      </c>
      <c r="B21" s="71"/>
      <c r="C21" s="924">
        <f>'Summary Board'!K110</f>
        <v>20</v>
      </c>
      <c r="D21" s="307">
        <f t="shared" ref="D21:M21" si="10">$C$21*(1+$B$17)^D$4</f>
        <v>20.6</v>
      </c>
      <c r="E21" s="307">
        <f t="shared" si="10"/>
        <v>21.218</v>
      </c>
      <c r="F21" s="307">
        <f t="shared" si="10"/>
        <v>21.85454</v>
      </c>
      <c r="G21" s="320">
        <f t="shared" si="10"/>
        <v>22.510176199999997</v>
      </c>
      <c r="H21" s="307">
        <f t="shared" si="10"/>
        <v>23.185481485999997</v>
      </c>
      <c r="I21" s="308">
        <f t="shared" si="10"/>
        <v>23.881045930579997</v>
      </c>
      <c r="J21" s="307">
        <f t="shared" si="10"/>
        <v>24.5974773084974</v>
      </c>
      <c r="K21" s="307">
        <f t="shared" si="10"/>
        <v>25.335401627752319</v>
      </c>
      <c r="L21" s="307">
        <f t="shared" si="10"/>
        <v>26.095463676584888</v>
      </c>
      <c r="M21" s="308">
        <f t="shared" si="10"/>
        <v>26.878327586882435</v>
      </c>
      <c r="N21" s="423"/>
      <c r="O21" s="423"/>
      <c r="P21" s="423"/>
      <c r="Q21" s="423"/>
      <c r="R21" s="423"/>
      <c r="S21" s="423"/>
      <c r="T21" s="423"/>
      <c r="U21" s="423"/>
      <c r="V21" s="423"/>
    </row>
    <row r="22" spans="1:22" s="396" customFormat="1" outlineLevel="1">
      <c r="A22" s="352" t="s">
        <v>17</v>
      </c>
      <c r="B22" s="222"/>
      <c r="C22" s="265">
        <f t="shared" ref="C22:M22" si="11">C19*(1-C20)*C21</f>
        <v>0</v>
      </c>
      <c r="D22" s="267">
        <f t="shared" si="11"/>
        <v>0</v>
      </c>
      <c r="E22" s="267">
        <f t="shared" si="11"/>
        <v>601530.30000000005</v>
      </c>
      <c r="F22" s="267">
        <f t="shared" si="11"/>
        <v>840853.42650000006</v>
      </c>
      <c r="G22" s="266">
        <f t="shared" si="11"/>
        <v>866079.0292949999</v>
      </c>
      <c r="H22" s="267">
        <f t="shared" si="11"/>
        <v>892061.40017384989</v>
      </c>
      <c r="I22" s="268">
        <f t="shared" si="11"/>
        <v>918823.24217906536</v>
      </c>
      <c r="J22" s="267">
        <f t="shared" si="11"/>
        <v>946387.93944443751</v>
      </c>
      <c r="K22" s="267">
        <f t="shared" si="11"/>
        <v>974779.57762777049</v>
      </c>
      <c r="L22" s="267">
        <f t="shared" si="11"/>
        <v>1004022.9649566036</v>
      </c>
      <c r="M22" s="268">
        <f t="shared" si="11"/>
        <v>1034143.6539053017</v>
      </c>
      <c r="N22" s="475"/>
      <c r="O22" s="475"/>
      <c r="P22" s="475"/>
      <c r="Q22" s="475"/>
      <c r="R22" s="475"/>
      <c r="S22" s="475"/>
      <c r="T22" s="475"/>
      <c r="U22" s="475"/>
      <c r="V22" s="475"/>
    </row>
    <row r="23" spans="1:22" s="396" customFormat="1" outlineLevel="1">
      <c r="A23" s="192" t="s">
        <v>183</v>
      </c>
      <c r="B23" s="68"/>
      <c r="C23" s="159">
        <f t="shared" ref="C23:M23" si="12">C19*(1-C20)*($D$113*(1+$B17)^C$4)</f>
        <v>0</v>
      </c>
      <c r="D23" s="258">
        <f t="shared" si="12"/>
        <v>0</v>
      </c>
      <c r="E23" s="258">
        <f t="shared" si="12"/>
        <v>270688.63500000001</v>
      </c>
      <c r="F23" s="258">
        <f t="shared" si="12"/>
        <v>378384.04192500003</v>
      </c>
      <c r="G23" s="269">
        <f t="shared" si="12"/>
        <v>389735.56318274996</v>
      </c>
      <c r="H23" s="258">
        <f t="shared" si="12"/>
        <v>401427.6300782325</v>
      </c>
      <c r="I23" s="270">
        <f t="shared" si="12"/>
        <v>413470.45898057945</v>
      </c>
      <c r="J23" s="258">
        <f t="shared" si="12"/>
        <v>425874.57274999691</v>
      </c>
      <c r="K23" s="258">
        <f t="shared" si="12"/>
        <v>438650.80993249669</v>
      </c>
      <c r="L23" s="258">
        <f t="shared" si="12"/>
        <v>451810.33423047164</v>
      </c>
      <c r="M23" s="270">
        <f t="shared" si="12"/>
        <v>465364.64425738581</v>
      </c>
      <c r="N23" s="475"/>
      <c r="O23" s="475"/>
      <c r="P23" s="475"/>
      <c r="Q23" s="475"/>
      <c r="R23" s="475"/>
      <c r="S23" s="475"/>
      <c r="T23" s="475"/>
      <c r="U23" s="475"/>
      <c r="V23" s="475"/>
    </row>
    <row r="24" spans="1:22" s="396" customFormat="1" ht="13.5" outlineLevel="1" thickBot="1">
      <c r="A24" s="150" t="s">
        <v>184</v>
      </c>
      <c r="B24" s="71"/>
      <c r="C24" s="476">
        <f t="shared" ref="C24:M24" si="13">C19*($D$113*(1+$B17)^C$4)</f>
        <v>0</v>
      </c>
      <c r="D24" s="471">
        <f t="shared" si="13"/>
        <v>0</v>
      </c>
      <c r="E24" s="471">
        <f t="shared" si="13"/>
        <v>386698.05</v>
      </c>
      <c r="F24" s="471">
        <f t="shared" si="13"/>
        <v>398298.9915</v>
      </c>
      <c r="G24" s="470">
        <f t="shared" si="13"/>
        <v>410247.96124499995</v>
      </c>
      <c r="H24" s="471">
        <f t="shared" si="13"/>
        <v>422555.40008234995</v>
      </c>
      <c r="I24" s="472">
        <f t="shared" si="13"/>
        <v>435232.06208482047</v>
      </c>
      <c r="J24" s="471">
        <f t="shared" si="13"/>
        <v>448289.02394736512</v>
      </c>
      <c r="K24" s="471">
        <f t="shared" si="13"/>
        <v>461737.694665786</v>
      </c>
      <c r="L24" s="471">
        <f t="shared" si="13"/>
        <v>475589.82550575957</v>
      </c>
      <c r="M24" s="472">
        <f t="shared" si="13"/>
        <v>489857.52027093241</v>
      </c>
      <c r="N24" s="475"/>
      <c r="O24" s="475"/>
      <c r="P24" s="475"/>
      <c r="Q24" s="475"/>
      <c r="R24" s="475"/>
      <c r="S24" s="475"/>
      <c r="T24" s="475"/>
      <c r="U24" s="475"/>
      <c r="V24" s="475"/>
    </row>
    <row r="25" spans="1:22" ht="14.1" customHeight="1">
      <c r="A25" s="66" t="s">
        <v>89</v>
      </c>
      <c r="B25" s="68"/>
      <c r="C25" s="147"/>
      <c r="D25" s="77"/>
      <c r="E25" s="77"/>
      <c r="F25" s="77"/>
      <c r="G25" s="67"/>
      <c r="H25" s="77"/>
      <c r="I25" s="122"/>
      <c r="J25" s="77"/>
      <c r="K25" s="77"/>
      <c r="L25" s="77"/>
      <c r="M25" s="122"/>
    </row>
    <row r="26" spans="1:22" ht="14.1" customHeight="1">
      <c r="A26" s="192" t="s">
        <v>11</v>
      </c>
      <c r="B26" s="138">
        <v>0.03</v>
      </c>
      <c r="C26" s="146"/>
      <c r="D26" s="117"/>
      <c r="E26" s="117"/>
      <c r="F26" s="117"/>
      <c r="G26" s="149"/>
      <c r="H26" s="117"/>
      <c r="I26" s="121"/>
      <c r="J26" s="117"/>
      <c r="K26" s="117"/>
      <c r="L26" s="117"/>
      <c r="M26" s="121"/>
    </row>
    <row r="27" spans="1:22" ht="14.1" customHeight="1">
      <c r="A27" s="192" t="s">
        <v>127</v>
      </c>
      <c r="B27" s="68"/>
      <c r="C27" s="412">
        <v>0</v>
      </c>
      <c r="D27" s="203">
        <f>C27</f>
        <v>0</v>
      </c>
      <c r="E27" s="203">
        <f t="shared" ref="E27:M27" si="14">D27</f>
        <v>0</v>
      </c>
      <c r="F27" s="203">
        <f>C105</f>
        <v>107308</v>
      </c>
      <c r="G27" s="230">
        <f t="shared" si="14"/>
        <v>107308</v>
      </c>
      <c r="H27" s="203">
        <f t="shared" si="14"/>
        <v>107308</v>
      </c>
      <c r="I27" s="208">
        <f t="shared" si="14"/>
        <v>107308</v>
      </c>
      <c r="J27" s="203">
        <f t="shared" si="14"/>
        <v>107308</v>
      </c>
      <c r="K27" s="203">
        <f t="shared" si="14"/>
        <v>107308</v>
      </c>
      <c r="L27" s="203">
        <f t="shared" si="14"/>
        <v>107308</v>
      </c>
      <c r="M27" s="208">
        <f t="shared" si="14"/>
        <v>107308</v>
      </c>
    </row>
    <row r="28" spans="1:22" ht="14.1" customHeight="1">
      <c r="A28" s="192" t="s">
        <v>40</v>
      </c>
      <c r="B28" s="138">
        <v>0.9</v>
      </c>
      <c r="C28" s="413">
        <f>C27*$B$28</f>
        <v>0</v>
      </c>
      <c r="D28" s="203">
        <f t="shared" ref="D28:M28" si="15">D27*$B$28</f>
        <v>0</v>
      </c>
      <c r="E28" s="203">
        <f t="shared" si="15"/>
        <v>0</v>
      </c>
      <c r="F28" s="203">
        <f t="shared" si="15"/>
        <v>96577.2</v>
      </c>
      <c r="G28" s="230">
        <f t="shared" si="15"/>
        <v>96577.2</v>
      </c>
      <c r="H28" s="203">
        <f t="shared" si="15"/>
        <v>96577.2</v>
      </c>
      <c r="I28" s="208">
        <f t="shared" si="15"/>
        <v>96577.2</v>
      </c>
      <c r="J28" s="203">
        <f t="shared" si="15"/>
        <v>96577.2</v>
      </c>
      <c r="K28" s="203">
        <f t="shared" si="15"/>
        <v>96577.2</v>
      </c>
      <c r="L28" s="203">
        <f t="shared" si="15"/>
        <v>96577.2</v>
      </c>
      <c r="M28" s="208">
        <f t="shared" si="15"/>
        <v>96577.2</v>
      </c>
    </row>
    <row r="29" spans="1:22" ht="14.1" customHeight="1">
      <c r="A29" s="192" t="s">
        <v>45</v>
      </c>
      <c r="B29" s="116"/>
      <c r="C29" s="414">
        <v>1</v>
      </c>
      <c r="D29" s="119">
        <f>C29</f>
        <v>1</v>
      </c>
      <c r="E29" s="138">
        <v>1</v>
      </c>
      <c r="F29" s="138">
        <v>0.3</v>
      </c>
      <c r="G29" s="237">
        <v>0.05</v>
      </c>
      <c r="H29" s="119">
        <f t="shared" ref="H29:M29" si="16">G29</f>
        <v>0.05</v>
      </c>
      <c r="I29" s="238">
        <f t="shared" si="16"/>
        <v>0.05</v>
      </c>
      <c r="J29" s="119">
        <f t="shared" si="16"/>
        <v>0.05</v>
      </c>
      <c r="K29" s="119">
        <f t="shared" si="16"/>
        <v>0.05</v>
      </c>
      <c r="L29" s="119">
        <f t="shared" si="16"/>
        <v>0.05</v>
      </c>
      <c r="M29" s="238">
        <f t="shared" si="16"/>
        <v>0.05</v>
      </c>
    </row>
    <row r="30" spans="1:22" ht="13.5" thickBot="1">
      <c r="A30" s="150" t="s">
        <v>128</v>
      </c>
      <c r="B30" s="71"/>
      <c r="C30" s="924">
        <f>C21</f>
        <v>20</v>
      </c>
      <c r="D30" s="307">
        <f t="shared" ref="D30:M30" si="17">$C$30*(1+$B$26)^D$4</f>
        <v>20.6</v>
      </c>
      <c r="E30" s="307">
        <f t="shared" si="17"/>
        <v>21.218</v>
      </c>
      <c r="F30" s="307">
        <f t="shared" si="17"/>
        <v>21.85454</v>
      </c>
      <c r="G30" s="320">
        <f t="shared" si="17"/>
        <v>22.510176199999997</v>
      </c>
      <c r="H30" s="307">
        <f t="shared" si="17"/>
        <v>23.185481485999997</v>
      </c>
      <c r="I30" s="308">
        <f t="shared" si="17"/>
        <v>23.881045930579997</v>
      </c>
      <c r="J30" s="307">
        <f t="shared" si="17"/>
        <v>24.5974773084974</v>
      </c>
      <c r="K30" s="307">
        <f t="shared" si="17"/>
        <v>25.335401627752319</v>
      </c>
      <c r="L30" s="307">
        <f t="shared" si="17"/>
        <v>26.095463676584888</v>
      </c>
      <c r="M30" s="308">
        <f t="shared" si="17"/>
        <v>26.878327586882435</v>
      </c>
      <c r="N30" s="423"/>
      <c r="O30" s="423"/>
      <c r="P30" s="423"/>
      <c r="Q30" s="423"/>
      <c r="R30" s="423"/>
      <c r="S30" s="423"/>
      <c r="T30" s="423"/>
      <c r="U30" s="423"/>
      <c r="V30" s="423"/>
    </row>
    <row r="31" spans="1:22" s="396" customFormat="1" outlineLevel="1">
      <c r="A31" s="352" t="s">
        <v>17</v>
      </c>
      <c r="B31" s="222"/>
      <c r="C31" s="265">
        <f>C28*(1-C29)*C30</f>
        <v>0</v>
      </c>
      <c r="D31" s="267">
        <f t="shared" ref="D31:M31" si="18">D28*(1-D29)*D30</f>
        <v>0</v>
      </c>
      <c r="E31" s="267">
        <f t="shared" si="18"/>
        <v>0</v>
      </c>
      <c r="F31" s="267">
        <f t="shared" si="18"/>
        <v>1477455.1963415998</v>
      </c>
      <c r="G31" s="266">
        <f t="shared" si="18"/>
        <v>2065271.2994575077</v>
      </c>
      <c r="H31" s="267">
        <f t="shared" si="18"/>
        <v>2127229.4384412328</v>
      </c>
      <c r="I31" s="268">
        <f t="shared" si="18"/>
        <v>2191046.3215944697</v>
      </c>
      <c r="J31" s="267">
        <f t="shared" si="18"/>
        <v>2256777.7112423042</v>
      </c>
      <c r="K31" s="267">
        <f t="shared" si="18"/>
        <v>2324481.0425795731</v>
      </c>
      <c r="L31" s="267">
        <f t="shared" si="18"/>
        <v>2394215.4738569604</v>
      </c>
      <c r="M31" s="268">
        <f t="shared" si="18"/>
        <v>2466041.9380726689</v>
      </c>
      <c r="N31" s="475"/>
      <c r="O31" s="475"/>
      <c r="P31" s="475"/>
      <c r="Q31" s="475"/>
      <c r="R31" s="475"/>
      <c r="S31" s="475"/>
      <c r="T31" s="475"/>
      <c r="U31" s="475"/>
      <c r="V31" s="475"/>
    </row>
    <row r="32" spans="1:22" s="396" customFormat="1" outlineLevel="1">
      <c r="A32" s="192" t="s">
        <v>183</v>
      </c>
      <c r="B32" s="68"/>
      <c r="C32" s="159">
        <f t="shared" ref="C32:M32" si="19">C28*(1-C29)*($D$113*(1+$B26)^C$4)</f>
        <v>0</v>
      </c>
      <c r="D32" s="258">
        <f t="shared" si="19"/>
        <v>0</v>
      </c>
      <c r="E32" s="258">
        <f t="shared" si="19"/>
        <v>0</v>
      </c>
      <c r="F32" s="258">
        <f t="shared" si="19"/>
        <v>664854.83835371991</v>
      </c>
      <c r="G32" s="269">
        <f t="shared" si="19"/>
        <v>929372.08475587843</v>
      </c>
      <c r="H32" s="258">
        <f t="shared" si="19"/>
        <v>957253.24729855487</v>
      </c>
      <c r="I32" s="270">
        <f t="shared" si="19"/>
        <v>985970.84471751144</v>
      </c>
      <c r="J32" s="258">
        <f t="shared" si="19"/>
        <v>1015549.970059037</v>
      </c>
      <c r="K32" s="258">
        <f t="shared" si="19"/>
        <v>1046016.4691608079</v>
      </c>
      <c r="L32" s="258">
        <f t="shared" si="19"/>
        <v>1077396.9632356321</v>
      </c>
      <c r="M32" s="270">
        <f t="shared" si="19"/>
        <v>1109718.8721327011</v>
      </c>
      <c r="N32" s="475"/>
      <c r="O32" s="475"/>
      <c r="P32" s="475"/>
      <c r="Q32" s="475"/>
      <c r="R32" s="475"/>
      <c r="S32" s="475"/>
      <c r="T32" s="475"/>
      <c r="U32" s="475"/>
      <c r="V32" s="475"/>
    </row>
    <row r="33" spans="1:22" s="396" customFormat="1" ht="13.5" outlineLevel="1" thickBot="1">
      <c r="A33" s="150" t="s">
        <v>184</v>
      </c>
      <c r="B33" s="71"/>
      <c r="C33" s="476">
        <f t="shared" ref="C33:M33" si="20">C28*($D$113*(1+$B26)^C$4)</f>
        <v>0</v>
      </c>
      <c r="D33" s="471">
        <f t="shared" si="20"/>
        <v>0</v>
      </c>
      <c r="E33" s="471">
        <f t="shared" si="20"/>
        <v>0</v>
      </c>
      <c r="F33" s="471">
        <f t="shared" si="20"/>
        <v>949792.62621959997</v>
      </c>
      <c r="G33" s="470">
        <f t="shared" si="20"/>
        <v>978286.40500618785</v>
      </c>
      <c r="H33" s="471">
        <f t="shared" si="20"/>
        <v>1007634.9971563736</v>
      </c>
      <c r="I33" s="472">
        <f t="shared" si="20"/>
        <v>1037864.0470710647</v>
      </c>
      <c r="J33" s="471">
        <f t="shared" si="20"/>
        <v>1068999.9684831968</v>
      </c>
      <c r="K33" s="471">
        <f t="shared" si="20"/>
        <v>1101069.9675376925</v>
      </c>
      <c r="L33" s="471">
        <f t="shared" si="20"/>
        <v>1134102.0665638233</v>
      </c>
      <c r="M33" s="472">
        <f t="shared" si="20"/>
        <v>1168125.1285607382</v>
      </c>
      <c r="N33" s="475"/>
      <c r="O33" s="475"/>
      <c r="P33" s="475"/>
      <c r="Q33" s="475"/>
      <c r="R33" s="475"/>
      <c r="S33" s="475"/>
      <c r="T33" s="475"/>
      <c r="U33" s="475"/>
      <c r="V33" s="475"/>
    </row>
    <row r="34" spans="1:22" ht="14.1" customHeight="1">
      <c r="A34" s="66" t="s">
        <v>378</v>
      </c>
      <c r="B34" s="68"/>
      <c r="C34" s="147"/>
      <c r="D34" s="77"/>
      <c r="E34" s="77"/>
      <c r="F34" s="77"/>
      <c r="G34" s="67"/>
      <c r="H34" s="77"/>
      <c r="I34" s="122"/>
      <c r="J34" s="77"/>
      <c r="K34" s="77"/>
      <c r="L34" s="77"/>
      <c r="M34" s="122"/>
    </row>
    <row r="35" spans="1:22" ht="14.1" customHeight="1">
      <c r="A35" s="192" t="s">
        <v>11</v>
      </c>
      <c r="B35" s="138">
        <v>0.03</v>
      </c>
      <c r="C35" s="146"/>
      <c r="D35" s="117"/>
      <c r="E35" s="117"/>
      <c r="F35" s="117"/>
      <c r="G35" s="149"/>
      <c r="H35" s="117"/>
      <c r="I35" s="121"/>
      <c r="J35" s="117"/>
      <c r="K35" s="117"/>
      <c r="L35" s="117"/>
      <c r="M35" s="121"/>
    </row>
    <row r="36" spans="1:22" ht="14.1" customHeight="1">
      <c r="A36" s="192" t="s">
        <v>127</v>
      </c>
      <c r="B36" s="68"/>
      <c r="C36" s="412">
        <v>0</v>
      </c>
      <c r="D36" s="203">
        <f>C36</f>
        <v>0</v>
      </c>
      <c r="E36" s="203">
        <f>D36</f>
        <v>0</v>
      </c>
      <c r="F36" s="203">
        <f t="shared" ref="F36:M36" si="21">E36</f>
        <v>0</v>
      </c>
      <c r="G36" s="230">
        <f t="shared" si="21"/>
        <v>0</v>
      </c>
      <c r="H36" s="203">
        <f>C106</f>
        <v>161301.79999999999</v>
      </c>
      <c r="I36" s="208">
        <f t="shared" si="21"/>
        <v>161301.79999999999</v>
      </c>
      <c r="J36" s="203">
        <f t="shared" si="21"/>
        <v>161301.79999999999</v>
      </c>
      <c r="K36" s="203">
        <f t="shared" si="21"/>
        <v>161301.79999999999</v>
      </c>
      <c r="L36" s="203">
        <f t="shared" si="21"/>
        <v>161301.79999999999</v>
      </c>
      <c r="M36" s="208">
        <f t="shared" si="21"/>
        <v>161301.79999999999</v>
      </c>
    </row>
    <row r="37" spans="1:22" ht="14.1" customHeight="1">
      <c r="A37" s="192" t="s">
        <v>40</v>
      </c>
      <c r="B37" s="138">
        <v>0.9</v>
      </c>
      <c r="C37" s="413">
        <f>C36*$B$37</f>
        <v>0</v>
      </c>
      <c r="D37" s="203">
        <f t="shared" ref="D37:M37" si="22">D36*$B$37</f>
        <v>0</v>
      </c>
      <c r="E37" s="203">
        <f t="shared" si="22"/>
        <v>0</v>
      </c>
      <c r="F37" s="203">
        <f t="shared" si="22"/>
        <v>0</v>
      </c>
      <c r="G37" s="230">
        <f t="shared" si="22"/>
        <v>0</v>
      </c>
      <c r="H37" s="203">
        <f t="shared" si="22"/>
        <v>145171.62</v>
      </c>
      <c r="I37" s="208">
        <f t="shared" si="22"/>
        <v>145171.62</v>
      </c>
      <c r="J37" s="203">
        <f t="shared" si="22"/>
        <v>145171.62</v>
      </c>
      <c r="K37" s="203">
        <f t="shared" si="22"/>
        <v>145171.62</v>
      </c>
      <c r="L37" s="203">
        <f t="shared" si="22"/>
        <v>145171.62</v>
      </c>
      <c r="M37" s="208">
        <f t="shared" si="22"/>
        <v>145171.62</v>
      </c>
    </row>
    <row r="38" spans="1:22" ht="14.1" customHeight="1">
      <c r="A38" s="192" t="s">
        <v>45</v>
      </c>
      <c r="B38" s="116"/>
      <c r="C38" s="414">
        <v>1</v>
      </c>
      <c r="D38" s="119">
        <f>C38</f>
        <v>1</v>
      </c>
      <c r="E38" s="119">
        <f>D38</f>
        <v>1</v>
      </c>
      <c r="F38" s="119">
        <f>E38</f>
        <v>1</v>
      </c>
      <c r="G38" s="287">
        <f t="shared" ref="G38:M38" si="23">F38</f>
        <v>1</v>
      </c>
      <c r="H38" s="138">
        <v>0.3</v>
      </c>
      <c r="I38" s="235">
        <v>0.05</v>
      </c>
      <c r="J38" s="119">
        <f t="shared" si="23"/>
        <v>0.05</v>
      </c>
      <c r="K38" s="119">
        <f t="shared" si="23"/>
        <v>0.05</v>
      </c>
      <c r="L38" s="119">
        <f t="shared" si="23"/>
        <v>0.05</v>
      </c>
      <c r="M38" s="238">
        <f t="shared" si="23"/>
        <v>0.05</v>
      </c>
    </row>
    <row r="39" spans="1:22" ht="18" customHeight="1" thickBot="1">
      <c r="A39" s="150" t="s">
        <v>128</v>
      </c>
      <c r="B39" s="71"/>
      <c r="C39" s="924">
        <f>C30</f>
        <v>20</v>
      </c>
      <c r="D39" s="307">
        <f t="shared" ref="D39:M39" si="24">$C$39*(1+$B$35)^D$4</f>
        <v>20.6</v>
      </c>
      <c r="E39" s="307">
        <f t="shared" si="24"/>
        <v>21.218</v>
      </c>
      <c r="F39" s="307">
        <f t="shared" si="24"/>
        <v>21.85454</v>
      </c>
      <c r="G39" s="320">
        <f t="shared" si="24"/>
        <v>22.510176199999997</v>
      </c>
      <c r="H39" s="307">
        <f t="shared" si="24"/>
        <v>23.185481485999997</v>
      </c>
      <c r="I39" s="308">
        <f t="shared" si="24"/>
        <v>23.881045930579997</v>
      </c>
      <c r="J39" s="307">
        <f t="shared" si="24"/>
        <v>24.5974773084974</v>
      </c>
      <c r="K39" s="307">
        <f t="shared" si="24"/>
        <v>25.335401627752319</v>
      </c>
      <c r="L39" s="307">
        <f t="shared" si="24"/>
        <v>26.095463676584888</v>
      </c>
      <c r="M39" s="308">
        <f t="shared" si="24"/>
        <v>26.878327586882435</v>
      </c>
      <c r="N39" s="423"/>
      <c r="O39" s="423"/>
      <c r="P39" s="423"/>
      <c r="Q39" s="423"/>
      <c r="R39" s="423"/>
      <c r="S39" s="423"/>
      <c r="T39" s="423"/>
      <c r="U39" s="423"/>
      <c r="V39" s="423"/>
    </row>
    <row r="40" spans="1:22" s="396" customFormat="1" outlineLevel="1">
      <c r="A40" s="352" t="s">
        <v>17</v>
      </c>
      <c r="B40" s="222"/>
      <c r="C40" s="265">
        <f>C37*(1-C38)*C39</f>
        <v>0</v>
      </c>
      <c r="D40" s="267">
        <f t="shared" ref="D40:M40" si="25">D37*(1-D38)*D39</f>
        <v>0</v>
      </c>
      <c r="E40" s="267">
        <f t="shared" si="25"/>
        <v>0</v>
      </c>
      <c r="F40" s="267">
        <f t="shared" si="25"/>
        <v>0</v>
      </c>
      <c r="G40" s="266">
        <f t="shared" si="25"/>
        <v>0</v>
      </c>
      <c r="H40" s="267">
        <f t="shared" si="25"/>
        <v>2356111.7354618385</v>
      </c>
      <c r="I40" s="268">
        <f t="shared" si="25"/>
        <v>3293507.61878487</v>
      </c>
      <c r="J40" s="267">
        <f t="shared" si="25"/>
        <v>3392312.8473484167</v>
      </c>
      <c r="K40" s="267">
        <f t="shared" si="25"/>
        <v>3494082.2327688686</v>
      </c>
      <c r="L40" s="267">
        <f t="shared" si="25"/>
        <v>3598904.699751935</v>
      </c>
      <c r="M40" s="268">
        <f t="shared" si="25"/>
        <v>3706871.8407444931</v>
      </c>
      <c r="N40" s="475"/>
      <c r="O40" s="475"/>
      <c r="P40" s="475"/>
      <c r="Q40" s="475"/>
      <c r="R40" s="475"/>
      <c r="S40" s="475"/>
      <c r="T40" s="475"/>
      <c r="U40" s="475"/>
      <c r="V40" s="475"/>
    </row>
    <row r="41" spans="1:22" s="396" customFormat="1" outlineLevel="1">
      <c r="A41" s="192" t="s">
        <v>183</v>
      </c>
      <c r="B41" s="68"/>
      <c r="C41" s="159">
        <f t="shared" ref="C41:M41" si="26">C37*(1-C38)*($D$113*(1+$B35)^C$4)</f>
        <v>0</v>
      </c>
      <c r="D41" s="258">
        <f t="shared" si="26"/>
        <v>0</v>
      </c>
      <c r="E41" s="258">
        <f t="shared" si="26"/>
        <v>0</v>
      </c>
      <c r="F41" s="258">
        <f t="shared" si="26"/>
        <v>0</v>
      </c>
      <c r="G41" s="269">
        <f t="shared" si="26"/>
        <v>0</v>
      </c>
      <c r="H41" s="258">
        <f t="shared" si="26"/>
        <v>1060250.2809578273</v>
      </c>
      <c r="I41" s="270">
        <f t="shared" si="26"/>
        <v>1482078.4284531916</v>
      </c>
      <c r="J41" s="258">
        <f t="shared" si="26"/>
        <v>1526540.7813067876</v>
      </c>
      <c r="K41" s="258">
        <f t="shared" si="26"/>
        <v>1572337.004745991</v>
      </c>
      <c r="L41" s="258">
        <f t="shared" si="26"/>
        <v>1619507.1148883707</v>
      </c>
      <c r="M41" s="270">
        <f t="shared" si="26"/>
        <v>1668092.3283350219</v>
      </c>
      <c r="N41" s="475"/>
      <c r="O41" s="475"/>
      <c r="P41" s="475"/>
      <c r="Q41" s="475"/>
      <c r="R41" s="475"/>
      <c r="S41" s="475"/>
      <c r="T41" s="475"/>
      <c r="U41" s="475"/>
      <c r="V41" s="475"/>
    </row>
    <row r="42" spans="1:22" s="396" customFormat="1" ht="13.5" outlineLevel="1" thickBot="1">
      <c r="A42" s="150" t="s">
        <v>184</v>
      </c>
      <c r="B42" s="71"/>
      <c r="C42" s="476">
        <f t="shared" ref="C42:M42" si="27">C37*($D$113*(1+$B35)^C$4)</f>
        <v>0</v>
      </c>
      <c r="D42" s="471">
        <f t="shared" si="27"/>
        <v>0</v>
      </c>
      <c r="E42" s="471">
        <f t="shared" si="27"/>
        <v>0</v>
      </c>
      <c r="F42" s="471">
        <f t="shared" si="27"/>
        <v>0</v>
      </c>
      <c r="G42" s="470">
        <f t="shared" si="27"/>
        <v>0</v>
      </c>
      <c r="H42" s="471">
        <f t="shared" si="27"/>
        <v>1514643.2585111822</v>
      </c>
      <c r="I42" s="472">
        <f t="shared" si="27"/>
        <v>1560082.5562665176</v>
      </c>
      <c r="J42" s="471">
        <f t="shared" si="27"/>
        <v>1606885.0329545133</v>
      </c>
      <c r="K42" s="471">
        <f t="shared" si="27"/>
        <v>1655091.5839431484</v>
      </c>
      <c r="L42" s="471">
        <f t="shared" si="27"/>
        <v>1704744.3314614429</v>
      </c>
      <c r="M42" s="472">
        <f t="shared" si="27"/>
        <v>1755886.6614052863</v>
      </c>
      <c r="N42" s="475"/>
      <c r="O42" s="475"/>
      <c r="P42" s="475"/>
      <c r="Q42" s="475"/>
      <c r="R42" s="475"/>
      <c r="S42" s="475"/>
      <c r="T42" s="475"/>
      <c r="U42" s="475"/>
      <c r="V42" s="475"/>
    </row>
    <row r="43" spans="1:22" ht="14.1" customHeight="1">
      <c r="A43" s="66" t="s">
        <v>382</v>
      </c>
      <c r="B43" s="68"/>
      <c r="C43" s="147"/>
      <c r="D43" s="77"/>
      <c r="E43" s="77"/>
      <c r="F43" s="77"/>
      <c r="G43" s="67"/>
      <c r="H43" s="77"/>
      <c r="I43" s="122"/>
      <c r="J43" s="77"/>
      <c r="K43" s="77"/>
      <c r="L43" s="77"/>
      <c r="M43" s="122"/>
    </row>
    <row r="44" spans="1:22" ht="14.1" customHeight="1">
      <c r="A44" s="192" t="s">
        <v>11</v>
      </c>
      <c r="B44" s="138">
        <v>0.03</v>
      </c>
      <c r="C44" s="146"/>
      <c r="D44" s="117"/>
      <c r="E44" s="117"/>
      <c r="F44" s="117"/>
      <c r="G44" s="149"/>
      <c r="H44" s="117"/>
      <c r="I44" s="121"/>
      <c r="J44" s="117"/>
      <c r="K44" s="117"/>
      <c r="L44" s="117"/>
      <c r="M44" s="121"/>
    </row>
    <row r="45" spans="1:22" ht="14.1" customHeight="1">
      <c r="A45" s="192" t="s">
        <v>127</v>
      </c>
      <c r="B45" s="68"/>
      <c r="C45" s="412">
        <v>0</v>
      </c>
      <c r="D45" s="203">
        <f>C45</f>
        <v>0</v>
      </c>
      <c r="E45" s="203">
        <f>D45</f>
        <v>0</v>
      </c>
      <c r="F45" s="203">
        <f>E45</f>
        <v>0</v>
      </c>
      <c r="G45" s="230">
        <f t="shared" ref="G45:M45" si="28">F45</f>
        <v>0</v>
      </c>
      <c r="H45" s="203">
        <f t="shared" si="28"/>
        <v>0</v>
      </c>
      <c r="I45" s="208">
        <f>C107</f>
        <v>75724.17</v>
      </c>
      <c r="J45" s="203">
        <f t="shared" si="28"/>
        <v>75724.17</v>
      </c>
      <c r="K45" s="203">
        <f t="shared" si="28"/>
        <v>75724.17</v>
      </c>
      <c r="L45" s="203">
        <f t="shared" si="28"/>
        <v>75724.17</v>
      </c>
      <c r="M45" s="208">
        <f t="shared" si="28"/>
        <v>75724.17</v>
      </c>
    </row>
    <row r="46" spans="1:22" ht="14.1" customHeight="1">
      <c r="A46" s="192" t="s">
        <v>40</v>
      </c>
      <c r="B46" s="138">
        <v>0.9</v>
      </c>
      <c r="C46" s="413">
        <f>C45*$B$46</f>
        <v>0</v>
      </c>
      <c r="D46" s="203">
        <f t="shared" ref="D46:M46" si="29">D45*$B$46</f>
        <v>0</v>
      </c>
      <c r="E46" s="203">
        <f t="shared" si="29"/>
        <v>0</v>
      </c>
      <c r="F46" s="203">
        <f t="shared" si="29"/>
        <v>0</v>
      </c>
      <c r="G46" s="230">
        <f t="shared" si="29"/>
        <v>0</v>
      </c>
      <c r="H46" s="203">
        <f t="shared" si="29"/>
        <v>0</v>
      </c>
      <c r="I46" s="208">
        <f t="shared" si="29"/>
        <v>68151.752999999997</v>
      </c>
      <c r="J46" s="203">
        <f t="shared" si="29"/>
        <v>68151.752999999997</v>
      </c>
      <c r="K46" s="203">
        <f t="shared" si="29"/>
        <v>68151.752999999997</v>
      </c>
      <c r="L46" s="203">
        <f t="shared" si="29"/>
        <v>68151.752999999997</v>
      </c>
      <c r="M46" s="208">
        <f t="shared" si="29"/>
        <v>68151.752999999997</v>
      </c>
    </row>
    <row r="47" spans="1:22" ht="14.1" customHeight="1">
      <c r="A47" s="192" t="s">
        <v>45</v>
      </c>
      <c r="B47" s="116"/>
      <c r="C47" s="414">
        <v>1</v>
      </c>
      <c r="D47" s="119">
        <f>C47</f>
        <v>1</v>
      </c>
      <c r="E47" s="119">
        <f>D47</f>
        <v>1</v>
      </c>
      <c r="F47" s="119">
        <f>E47</f>
        <v>1</v>
      </c>
      <c r="G47" s="287">
        <f>F47</f>
        <v>1</v>
      </c>
      <c r="H47" s="119">
        <f t="shared" ref="H47:M47" si="30">G47</f>
        <v>1</v>
      </c>
      <c r="I47" s="235">
        <v>0.3</v>
      </c>
      <c r="J47" s="138">
        <v>0.05</v>
      </c>
      <c r="K47" s="119">
        <f t="shared" si="30"/>
        <v>0.05</v>
      </c>
      <c r="L47" s="119">
        <f t="shared" si="30"/>
        <v>0.05</v>
      </c>
      <c r="M47" s="238">
        <f t="shared" si="30"/>
        <v>0.05</v>
      </c>
    </row>
    <row r="48" spans="1:22" ht="13.5" thickBot="1">
      <c r="A48" s="150" t="s">
        <v>128</v>
      </c>
      <c r="B48" s="71"/>
      <c r="C48" s="924">
        <f>C39</f>
        <v>20</v>
      </c>
      <c r="D48" s="307">
        <f t="shared" ref="D48:M48" si="31">$C$48*(1+$B$44)^D$4</f>
        <v>20.6</v>
      </c>
      <c r="E48" s="307">
        <f t="shared" si="31"/>
        <v>21.218</v>
      </c>
      <c r="F48" s="307">
        <f t="shared" si="31"/>
        <v>21.85454</v>
      </c>
      <c r="G48" s="320">
        <f t="shared" si="31"/>
        <v>22.510176199999997</v>
      </c>
      <c r="H48" s="307">
        <f t="shared" si="31"/>
        <v>23.185481485999997</v>
      </c>
      <c r="I48" s="308">
        <f t="shared" si="31"/>
        <v>23.881045930579997</v>
      </c>
      <c r="J48" s="307">
        <f t="shared" si="31"/>
        <v>24.5974773084974</v>
      </c>
      <c r="K48" s="307">
        <f t="shared" si="31"/>
        <v>25.335401627752319</v>
      </c>
      <c r="L48" s="307">
        <f t="shared" si="31"/>
        <v>26.095463676584888</v>
      </c>
      <c r="M48" s="308">
        <f t="shared" si="31"/>
        <v>26.878327586882435</v>
      </c>
      <c r="N48" s="423"/>
      <c r="O48" s="423"/>
      <c r="P48" s="423"/>
      <c r="Q48" s="423"/>
      <c r="R48" s="423"/>
      <c r="S48" s="423"/>
      <c r="T48" s="423"/>
      <c r="U48" s="423"/>
      <c r="V48" s="423"/>
    </row>
    <row r="49" spans="1:22" s="396" customFormat="1" outlineLevel="1">
      <c r="A49" s="352" t="s">
        <v>17</v>
      </c>
      <c r="B49" s="222"/>
      <c r="C49" s="265">
        <f t="shared" ref="C49:M49" si="32">C46*(1-C47)*C48</f>
        <v>0</v>
      </c>
      <c r="D49" s="267">
        <f t="shared" si="32"/>
        <v>0</v>
      </c>
      <c r="E49" s="267">
        <f t="shared" si="32"/>
        <v>0</v>
      </c>
      <c r="F49" s="267">
        <f t="shared" si="32"/>
        <v>0</v>
      </c>
      <c r="G49" s="266">
        <f t="shared" si="32"/>
        <v>0</v>
      </c>
      <c r="H49" s="267">
        <f t="shared" si="32"/>
        <v>0</v>
      </c>
      <c r="I49" s="268">
        <f t="shared" si="32"/>
        <v>1139274.6005497801</v>
      </c>
      <c r="J49" s="267">
        <f t="shared" si="32"/>
        <v>1592543.1380542284</v>
      </c>
      <c r="K49" s="267">
        <f t="shared" si="32"/>
        <v>1640319.4321958551</v>
      </c>
      <c r="L49" s="267">
        <f t="shared" si="32"/>
        <v>1689529.0151617308</v>
      </c>
      <c r="M49" s="268">
        <f t="shared" si="32"/>
        <v>1740214.8856165828</v>
      </c>
      <c r="N49" s="475"/>
      <c r="O49" s="475"/>
      <c r="P49" s="475"/>
      <c r="Q49" s="475"/>
      <c r="R49" s="475"/>
      <c r="S49" s="475"/>
      <c r="T49" s="475"/>
      <c r="U49" s="475"/>
      <c r="V49" s="475"/>
    </row>
    <row r="50" spans="1:22" s="396" customFormat="1" outlineLevel="1">
      <c r="A50" s="192" t="s">
        <v>183</v>
      </c>
      <c r="B50" s="68"/>
      <c r="C50" s="159">
        <f t="shared" ref="C50:M50" si="33">C46*(1-C47)*($D$113*(1+$B44)^C$4)</f>
        <v>0</v>
      </c>
      <c r="D50" s="258">
        <f t="shared" si="33"/>
        <v>0</v>
      </c>
      <c r="E50" s="258">
        <f t="shared" si="33"/>
        <v>0</v>
      </c>
      <c r="F50" s="258">
        <f t="shared" si="33"/>
        <v>0</v>
      </c>
      <c r="G50" s="269">
        <f t="shared" si="33"/>
        <v>0</v>
      </c>
      <c r="H50" s="258">
        <f t="shared" si="33"/>
        <v>0</v>
      </c>
      <c r="I50" s="270">
        <f t="shared" si="33"/>
        <v>512673.57024740108</v>
      </c>
      <c r="J50" s="258">
        <f t="shared" si="33"/>
        <v>716644.41212440294</v>
      </c>
      <c r="K50" s="258">
        <f t="shared" si="33"/>
        <v>738143.74448813486</v>
      </c>
      <c r="L50" s="258">
        <f t="shared" si="33"/>
        <v>760288.05682277889</v>
      </c>
      <c r="M50" s="270">
        <f t="shared" si="33"/>
        <v>783096.69852746231</v>
      </c>
      <c r="N50" s="475"/>
      <c r="O50" s="475"/>
      <c r="P50" s="475"/>
      <c r="Q50" s="475"/>
      <c r="R50" s="475"/>
      <c r="S50" s="475"/>
      <c r="T50" s="475"/>
      <c r="U50" s="475"/>
      <c r="V50" s="475"/>
    </row>
    <row r="51" spans="1:22" s="396" customFormat="1" ht="13.5" outlineLevel="1" thickBot="1">
      <c r="A51" s="150" t="s">
        <v>184</v>
      </c>
      <c r="B51" s="71"/>
      <c r="C51" s="476">
        <f t="shared" ref="C51:M51" si="34">C46*($D$113*(1+$B44)^C$4)</f>
        <v>0</v>
      </c>
      <c r="D51" s="471">
        <f t="shared" si="34"/>
        <v>0</v>
      </c>
      <c r="E51" s="471">
        <f t="shared" si="34"/>
        <v>0</v>
      </c>
      <c r="F51" s="471">
        <f t="shared" si="34"/>
        <v>0</v>
      </c>
      <c r="G51" s="470">
        <f t="shared" si="34"/>
        <v>0</v>
      </c>
      <c r="H51" s="471">
        <f t="shared" si="34"/>
        <v>0</v>
      </c>
      <c r="I51" s="472">
        <f t="shared" si="34"/>
        <v>732390.81463914434</v>
      </c>
      <c r="J51" s="471">
        <f t="shared" si="34"/>
        <v>754362.53907831886</v>
      </c>
      <c r="K51" s="471">
        <f t="shared" si="34"/>
        <v>776993.4152506683</v>
      </c>
      <c r="L51" s="471">
        <f t="shared" si="34"/>
        <v>800303.21770818834</v>
      </c>
      <c r="M51" s="472">
        <f t="shared" si="34"/>
        <v>824312.31423943397</v>
      </c>
      <c r="N51" s="475"/>
      <c r="O51" s="475"/>
      <c r="P51" s="475"/>
      <c r="Q51" s="475"/>
      <c r="R51" s="475"/>
      <c r="S51" s="475"/>
      <c r="T51" s="475"/>
      <c r="U51" s="475"/>
      <c r="V51" s="475"/>
    </row>
    <row r="52" spans="1:22" ht="14.1" customHeight="1">
      <c r="A52" s="66" t="s">
        <v>379</v>
      </c>
      <c r="B52" s="68"/>
      <c r="C52" s="147"/>
      <c r="D52" s="77"/>
      <c r="E52" s="77"/>
      <c r="F52" s="77"/>
      <c r="G52" s="67"/>
      <c r="H52" s="77"/>
      <c r="I52" s="122"/>
      <c r="J52" s="77"/>
      <c r="K52" s="77"/>
      <c r="L52" s="77"/>
      <c r="M52" s="122"/>
    </row>
    <row r="53" spans="1:22" ht="14.1" customHeight="1">
      <c r="A53" s="192" t="s">
        <v>11</v>
      </c>
      <c r="B53" s="138">
        <v>0.03</v>
      </c>
      <c r="C53" s="146"/>
      <c r="D53" s="117"/>
      <c r="E53" s="117"/>
      <c r="F53" s="117"/>
      <c r="G53" s="149"/>
      <c r="H53" s="117"/>
      <c r="I53" s="121"/>
      <c r="J53" s="117"/>
      <c r="K53" s="117"/>
      <c r="L53" s="117"/>
      <c r="M53" s="121"/>
    </row>
    <row r="54" spans="1:22" ht="14.1" customHeight="1">
      <c r="A54" s="192" t="s">
        <v>127</v>
      </c>
      <c r="B54" s="68"/>
      <c r="C54" s="412">
        <v>0</v>
      </c>
      <c r="D54" s="203">
        <f>C54</f>
        <v>0</v>
      </c>
      <c r="E54" s="203">
        <f>D54</f>
        <v>0</v>
      </c>
      <c r="F54" s="203">
        <f>E54</f>
        <v>0</v>
      </c>
      <c r="G54" s="230">
        <f t="shared" ref="G54:M54" si="35">F54</f>
        <v>0</v>
      </c>
      <c r="H54" s="203">
        <f t="shared" si="35"/>
        <v>0</v>
      </c>
      <c r="I54" s="208">
        <f t="shared" si="35"/>
        <v>0</v>
      </c>
      <c r="J54" s="203">
        <f>C108</f>
        <v>25008</v>
      </c>
      <c r="K54" s="203">
        <f t="shared" si="35"/>
        <v>25008</v>
      </c>
      <c r="L54" s="203">
        <f t="shared" si="35"/>
        <v>25008</v>
      </c>
      <c r="M54" s="208">
        <f t="shared" si="35"/>
        <v>25008</v>
      </c>
    </row>
    <row r="55" spans="1:22" ht="14.1" customHeight="1">
      <c r="A55" s="192" t="s">
        <v>40</v>
      </c>
      <c r="B55" s="138">
        <v>0.9</v>
      </c>
      <c r="C55" s="413">
        <f>C54*$B$55</f>
        <v>0</v>
      </c>
      <c r="D55" s="203">
        <f t="shared" ref="D55:M55" si="36">D54*$B$55</f>
        <v>0</v>
      </c>
      <c r="E55" s="203">
        <f t="shared" si="36"/>
        <v>0</v>
      </c>
      <c r="F55" s="203">
        <f t="shared" si="36"/>
        <v>0</v>
      </c>
      <c r="G55" s="230">
        <f t="shared" si="36"/>
        <v>0</v>
      </c>
      <c r="H55" s="203">
        <f t="shared" si="36"/>
        <v>0</v>
      </c>
      <c r="I55" s="208">
        <f t="shared" si="36"/>
        <v>0</v>
      </c>
      <c r="J55" s="203">
        <f t="shared" si="36"/>
        <v>22507.200000000001</v>
      </c>
      <c r="K55" s="203">
        <f t="shared" si="36"/>
        <v>22507.200000000001</v>
      </c>
      <c r="L55" s="203">
        <f t="shared" si="36"/>
        <v>22507.200000000001</v>
      </c>
      <c r="M55" s="208">
        <f t="shared" si="36"/>
        <v>22507.200000000001</v>
      </c>
    </row>
    <row r="56" spans="1:22" ht="14.1" customHeight="1">
      <c r="A56" s="192" t="s">
        <v>45</v>
      </c>
      <c r="B56" s="116"/>
      <c r="C56" s="414">
        <v>1</v>
      </c>
      <c r="D56" s="119">
        <f>C56</f>
        <v>1</v>
      </c>
      <c r="E56" s="119">
        <f>D56</f>
        <v>1</v>
      </c>
      <c r="F56" s="119">
        <f>E56</f>
        <v>1</v>
      </c>
      <c r="G56" s="287">
        <f>F56</f>
        <v>1</v>
      </c>
      <c r="H56" s="119">
        <f t="shared" ref="H56:M56" si="37">G56</f>
        <v>1</v>
      </c>
      <c r="I56" s="238">
        <f t="shared" si="37"/>
        <v>1</v>
      </c>
      <c r="J56" s="138">
        <v>0.3</v>
      </c>
      <c r="K56" s="138">
        <v>0.05</v>
      </c>
      <c r="L56" s="119">
        <f t="shared" si="37"/>
        <v>0.05</v>
      </c>
      <c r="M56" s="238">
        <f t="shared" si="37"/>
        <v>0.05</v>
      </c>
    </row>
    <row r="57" spans="1:22" ht="18" customHeight="1" thickBot="1">
      <c r="A57" s="150" t="s">
        <v>128</v>
      </c>
      <c r="B57" s="71"/>
      <c r="C57" s="924">
        <f>'Summary Board'!K111</f>
        <v>30</v>
      </c>
      <c r="D57" s="307">
        <f t="shared" ref="D57:M57" si="38">$C$57*(1+$B$53)^D$4</f>
        <v>30.900000000000002</v>
      </c>
      <c r="E57" s="307">
        <f t="shared" si="38"/>
        <v>31.826999999999998</v>
      </c>
      <c r="F57" s="307">
        <f t="shared" si="38"/>
        <v>32.78181</v>
      </c>
      <c r="G57" s="320">
        <f t="shared" si="38"/>
        <v>33.765264299999998</v>
      </c>
      <c r="H57" s="307">
        <f t="shared" si="38"/>
        <v>34.778222228999994</v>
      </c>
      <c r="I57" s="308">
        <f t="shared" si="38"/>
        <v>35.821568895869994</v>
      </c>
      <c r="J57" s="307">
        <f t="shared" si="38"/>
        <v>36.896215962746098</v>
      </c>
      <c r="K57" s="307">
        <f t="shared" si="38"/>
        <v>38.003102441628478</v>
      </c>
      <c r="L57" s="307">
        <f t="shared" si="38"/>
        <v>39.143195514877334</v>
      </c>
      <c r="M57" s="308">
        <f t="shared" si="38"/>
        <v>40.317491380323652</v>
      </c>
      <c r="N57" s="423"/>
      <c r="O57" s="423"/>
      <c r="P57" s="423"/>
      <c r="Q57" s="423"/>
      <c r="R57" s="423"/>
      <c r="S57" s="423"/>
      <c r="T57" s="423"/>
      <c r="U57" s="423"/>
      <c r="V57" s="423"/>
    </row>
    <row r="58" spans="1:22" s="396" customFormat="1" outlineLevel="1">
      <c r="A58" s="352" t="s">
        <v>17</v>
      </c>
      <c r="B58" s="222"/>
      <c r="C58" s="265">
        <f t="shared" ref="C58:M58" si="39">C55*(1-C56)*C57</f>
        <v>0</v>
      </c>
      <c r="D58" s="267">
        <f t="shared" si="39"/>
        <v>0</v>
      </c>
      <c r="E58" s="267">
        <f t="shared" si="39"/>
        <v>0</v>
      </c>
      <c r="F58" s="267">
        <f t="shared" si="39"/>
        <v>0</v>
      </c>
      <c r="G58" s="266">
        <f t="shared" si="39"/>
        <v>0</v>
      </c>
      <c r="H58" s="267">
        <f t="shared" si="39"/>
        <v>0</v>
      </c>
      <c r="I58" s="268">
        <f t="shared" si="39"/>
        <v>0</v>
      </c>
      <c r="J58" s="267">
        <f t="shared" si="39"/>
        <v>581301.35834170319</v>
      </c>
      <c r="K58" s="267">
        <f t="shared" si="39"/>
        <v>812576.2559105095</v>
      </c>
      <c r="L58" s="267">
        <f t="shared" si="39"/>
        <v>836953.5435878248</v>
      </c>
      <c r="M58" s="268">
        <f t="shared" si="39"/>
        <v>862062.14989545953</v>
      </c>
      <c r="N58" s="475"/>
      <c r="O58" s="475"/>
      <c r="P58" s="475"/>
      <c r="Q58" s="475"/>
      <c r="R58" s="475"/>
      <c r="S58" s="475"/>
      <c r="T58" s="475"/>
      <c r="U58" s="475"/>
      <c r="V58" s="475"/>
    </row>
    <row r="59" spans="1:22" s="396" customFormat="1" outlineLevel="1">
      <c r="A59" s="192" t="s">
        <v>183</v>
      </c>
      <c r="B59" s="68"/>
      <c r="C59" s="159">
        <f t="shared" ref="C59:M59" si="40">C55*(1-C56)*($D$113*(1+$B53)^C$4)</f>
        <v>0</v>
      </c>
      <c r="D59" s="258">
        <f t="shared" si="40"/>
        <v>0</v>
      </c>
      <c r="E59" s="258">
        <f t="shared" si="40"/>
        <v>0</v>
      </c>
      <c r="F59" s="258">
        <f t="shared" si="40"/>
        <v>0</v>
      </c>
      <c r="G59" s="269">
        <f t="shared" si="40"/>
        <v>0</v>
      </c>
      <c r="H59" s="258">
        <f t="shared" si="40"/>
        <v>0</v>
      </c>
      <c r="I59" s="270">
        <f t="shared" si="40"/>
        <v>0</v>
      </c>
      <c r="J59" s="258">
        <f t="shared" si="40"/>
        <v>174390.40750251099</v>
      </c>
      <c r="K59" s="258">
        <f t="shared" si="40"/>
        <v>243772.87677315285</v>
      </c>
      <c r="L59" s="258">
        <f t="shared" si="40"/>
        <v>251086.06307634743</v>
      </c>
      <c r="M59" s="270">
        <f t="shared" si="40"/>
        <v>258618.64496863788</v>
      </c>
      <c r="N59" s="475"/>
      <c r="O59" s="475"/>
      <c r="P59" s="475"/>
      <c r="Q59" s="475"/>
      <c r="R59" s="475"/>
      <c r="S59" s="475"/>
      <c r="T59" s="475"/>
      <c r="U59" s="475"/>
      <c r="V59" s="475"/>
    </row>
    <row r="60" spans="1:22" s="396" customFormat="1" ht="13.5" outlineLevel="1" thickBot="1">
      <c r="A60" s="150" t="s">
        <v>184</v>
      </c>
      <c r="B60" s="71"/>
      <c r="C60" s="476">
        <f t="shared" ref="C60:M60" si="41">C55*($D$113*(1+$B53)^C$4)</f>
        <v>0</v>
      </c>
      <c r="D60" s="471">
        <f t="shared" si="41"/>
        <v>0</v>
      </c>
      <c r="E60" s="471">
        <f t="shared" si="41"/>
        <v>0</v>
      </c>
      <c r="F60" s="471">
        <f t="shared" si="41"/>
        <v>0</v>
      </c>
      <c r="G60" s="470">
        <f t="shared" si="41"/>
        <v>0</v>
      </c>
      <c r="H60" s="471">
        <f t="shared" si="41"/>
        <v>0</v>
      </c>
      <c r="I60" s="472">
        <f t="shared" si="41"/>
        <v>0</v>
      </c>
      <c r="J60" s="471">
        <f t="shared" si="41"/>
        <v>249129.15357501572</v>
      </c>
      <c r="K60" s="471">
        <f t="shared" si="41"/>
        <v>256603.02818226616</v>
      </c>
      <c r="L60" s="471">
        <f t="shared" si="41"/>
        <v>264301.11902773415</v>
      </c>
      <c r="M60" s="472">
        <f t="shared" si="41"/>
        <v>272230.1525985662</v>
      </c>
      <c r="N60" s="475"/>
      <c r="O60" s="475"/>
      <c r="P60" s="475"/>
      <c r="Q60" s="475"/>
      <c r="R60" s="475"/>
      <c r="S60" s="475"/>
      <c r="T60" s="475"/>
      <c r="U60" s="475"/>
      <c r="V60" s="475"/>
    </row>
    <row r="61" spans="1:22" ht="14.1" customHeight="1">
      <c r="A61" s="66" t="s">
        <v>380</v>
      </c>
      <c r="B61" s="68"/>
      <c r="C61" s="147"/>
      <c r="D61" s="77"/>
      <c r="E61" s="77"/>
      <c r="F61" s="77"/>
      <c r="G61" s="67"/>
      <c r="H61" s="77"/>
      <c r="I61" s="122"/>
      <c r="J61" s="77"/>
      <c r="K61" s="77"/>
      <c r="L61" s="77"/>
      <c r="M61" s="122"/>
    </row>
    <row r="62" spans="1:22" ht="14.1" customHeight="1">
      <c r="A62" s="192" t="s">
        <v>11</v>
      </c>
      <c r="B62" s="138">
        <v>0.03</v>
      </c>
      <c r="C62" s="146"/>
      <c r="D62" s="117"/>
      <c r="E62" s="117"/>
      <c r="F62" s="117"/>
      <c r="G62" s="149"/>
      <c r="H62" s="117"/>
      <c r="I62" s="121"/>
      <c r="J62" s="117"/>
      <c r="K62" s="117"/>
      <c r="L62" s="117"/>
      <c r="M62" s="121"/>
    </row>
    <row r="63" spans="1:22" ht="14.1" customHeight="1">
      <c r="A63" s="192" t="s">
        <v>127</v>
      </c>
      <c r="B63" s="68"/>
      <c r="C63" s="412">
        <v>0</v>
      </c>
      <c r="D63" s="203">
        <f>C63</f>
        <v>0</v>
      </c>
      <c r="E63" s="203">
        <f>D63</f>
        <v>0</v>
      </c>
      <c r="F63" s="203">
        <f>E63</f>
        <v>0</v>
      </c>
      <c r="G63" s="230">
        <f t="shared" ref="G63:M63" si="42">F63</f>
        <v>0</v>
      </c>
      <c r="H63" s="203">
        <f t="shared" si="42"/>
        <v>0</v>
      </c>
      <c r="I63" s="208">
        <f t="shared" si="42"/>
        <v>0</v>
      </c>
      <c r="J63" s="203">
        <f t="shared" si="42"/>
        <v>0</v>
      </c>
      <c r="K63" s="203">
        <f t="shared" si="42"/>
        <v>0</v>
      </c>
      <c r="L63" s="203">
        <f>C109</f>
        <v>42681</v>
      </c>
      <c r="M63" s="208">
        <f t="shared" si="42"/>
        <v>42681</v>
      </c>
    </row>
    <row r="64" spans="1:22" ht="14.1" customHeight="1">
      <c r="A64" s="192" t="s">
        <v>40</v>
      </c>
      <c r="B64" s="138">
        <v>0.9</v>
      </c>
      <c r="C64" s="413">
        <f>C63*$B$64</f>
        <v>0</v>
      </c>
      <c r="D64" s="203">
        <f t="shared" ref="D64:M64" si="43">D63*$B$64</f>
        <v>0</v>
      </c>
      <c r="E64" s="203">
        <f t="shared" si="43"/>
        <v>0</v>
      </c>
      <c r="F64" s="203">
        <f t="shared" si="43"/>
        <v>0</v>
      </c>
      <c r="G64" s="230">
        <f t="shared" si="43"/>
        <v>0</v>
      </c>
      <c r="H64" s="203">
        <f t="shared" si="43"/>
        <v>0</v>
      </c>
      <c r="I64" s="208">
        <f t="shared" si="43"/>
        <v>0</v>
      </c>
      <c r="J64" s="203">
        <f t="shared" si="43"/>
        <v>0</v>
      </c>
      <c r="K64" s="203">
        <f t="shared" si="43"/>
        <v>0</v>
      </c>
      <c r="L64" s="203">
        <f t="shared" si="43"/>
        <v>38412.9</v>
      </c>
      <c r="M64" s="208">
        <f t="shared" si="43"/>
        <v>38412.9</v>
      </c>
    </row>
    <row r="65" spans="1:22" ht="14.1" customHeight="1">
      <c r="A65" s="192" t="s">
        <v>45</v>
      </c>
      <c r="B65" s="116"/>
      <c r="C65" s="414">
        <v>1</v>
      </c>
      <c r="D65" s="119">
        <f t="shared" ref="D65:K65" si="44">C65</f>
        <v>1</v>
      </c>
      <c r="E65" s="119">
        <f t="shared" si="44"/>
        <v>1</v>
      </c>
      <c r="F65" s="119">
        <f t="shared" si="44"/>
        <v>1</v>
      </c>
      <c r="G65" s="287">
        <f t="shared" si="44"/>
        <v>1</v>
      </c>
      <c r="H65" s="119">
        <f t="shared" si="44"/>
        <v>1</v>
      </c>
      <c r="I65" s="238">
        <f t="shared" si="44"/>
        <v>1</v>
      </c>
      <c r="J65" s="119">
        <f t="shared" si="44"/>
        <v>1</v>
      </c>
      <c r="K65" s="119">
        <f t="shared" si="44"/>
        <v>1</v>
      </c>
      <c r="L65" s="138">
        <v>0.3</v>
      </c>
      <c r="M65" s="235">
        <v>0.05</v>
      </c>
    </row>
    <row r="66" spans="1:22" ht="13.5" thickBot="1">
      <c r="A66" s="150" t="s">
        <v>128</v>
      </c>
      <c r="B66" s="71"/>
      <c r="C66" s="924">
        <f>C48</f>
        <v>20</v>
      </c>
      <c r="D66" s="307">
        <f t="shared" ref="D66:M66" si="45">$C$66*(1+$B$62)^D$4</f>
        <v>20.6</v>
      </c>
      <c r="E66" s="307">
        <f t="shared" si="45"/>
        <v>21.218</v>
      </c>
      <c r="F66" s="307">
        <f t="shared" si="45"/>
        <v>21.85454</v>
      </c>
      <c r="G66" s="320">
        <f t="shared" si="45"/>
        <v>22.510176199999997</v>
      </c>
      <c r="H66" s="307">
        <f t="shared" si="45"/>
        <v>23.185481485999997</v>
      </c>
      <c r="I66" s="308">
        <f t="shared" si="45"/>
        <v>23.881045930579997</v>
      </c>
      <c r="J66" s="307">
        <f t="shared" si="45"/>
        <v>24.5974773084974</v>
      </c>
      <c r="K66" s="307">
        <f t="shared" si="45"/>
        <v>25.335401627752319</v>
      </c>
      <c r="L66" s="307">
        <f t="shared" si="45"/>
        <v>26.095463676584888</v>
      </c>
      <c r="M66" s="308">
        <f t="shared" si="45"/>
        <v>26.878327586882435</v>
      </c>
      <c r="N66" s="423"/>
      <c r="O66" s="423"/>
      <c r="P66" s="423"/>
      <c r="Q66" s="423"/>
      <c r="R66" s="423"/>
      <c r="S66" s="423"/>
      <c r="T66" s="423"/>
      <c r="U66" s="423"/>
      <c r="V66" s="423"/>
    </row>
    <row r="67" spans="1:22" s="396" customFormat="1" outlineLevel="1">
      <c r="A67" s="352" t="s">
        <v>17</v>
      </c>
      <c r="B67" s="222"/>
      <c r="C67" s="265">
        <f>C64*(1-C65)*C66</f>
        <v>0</v>
      </c>
      <c r="D67" s="267">
        <f t="shared" ref="D67:M67" si="46">D64*(1-D65)*D66</f>
        <v>0</v>
      </c>
      <c r="E67" s="267">
        <f t="shared" si="46"/>
        <v>0</v>
      </c>
      <c r="F67" s="267">
        <f t="shared" si="46"/>
        <v>0</v>
      </c>
      <c r="G67" s="266">
        <f t="shared" si="46"/>
        <v>0</v>
      </c>
      <c r="H67" s="267">
        <f t="shared" si="46"/>
        <v>0</v>
      </c>
      <c r="I67" s="268">
        <f t="shared" si="46"/>
        <v>0</v>
      </c>
      <c r="J67" s="267">
        <f t="shared" si="46"/>
        <v>0</v>
      </c>
      <c r="K67" s="267">
        <f t="shared" si="46"/>
        <v>0</v>
      </c>
      <c r="L67" s="267">
        <f t="shared" si="46"/>
        <v>701681.70566360129</v>
      </c>
      <c r="M67" s="268">
        <f t="shared" si="46"/>
        <v>980850.7842740484</v>
      </c>
      <c r="N67" s="475"/>
      <c r="O67" s="475"/>
      <c r="P67" s="475"/>
      <c r="Q67" s="475"/>
      <c r="R67" s="475"/>
      <c r="S67" s="475"/>
      <c r="T67" s="475"/>
      <c r="U67" s="475"/>
      <c r="V67" s="475"/>
    </row>
    <row r="68" spans="1:22" s="396" customFormat="1" outlineLevel="1">
      <c r="A68" s="192" t="s">
        <v>183</v>
      </c>
      <c r="B68" s="68"/>
      <c r="C68" s="159">
        <f t="shared" ref="C68:M68" si="47">C64*(1-C65)*($D$113*(1+$B62)^C$4)</f>
        <v>0</v>
      </c>
      <c r="D68" s="258">
        <f t="shared" si="47"/>
        <v>0</v>
      </c>
      <c r="E68" s="258">
        <f t="shared" si="47"/>
        <v>0</v>
      </c>
      <c r="F68" s="258">
        <f t="shared" si="47"/>
        <v>0</v>
      </c>
      <c r="G68" s="269">
        <f t="shared" si="47"/>
        <v>0</v>
      </c>
      <c r="H68" s="258">
        <f t="shared" si="47"/>
        <v>0</v>
      </c>
      <c r="I68" s="270">
        <f t="shared" si="47"/>
        <v>0</v>
      </c>
      <c r="J68" s="258">
        <f t="shared" si="47"/>
        <v>0</v>
      </c>
      <c r="K68" s="258">
        <f t="shared" si="47"/>
        <v>0</v>
      </c>
      <c r="L68" s="258">
        <f t="shared" si="47"/>
        <v>315756.76754862058</v>
      </c>
      <c r="M68" s="270">
        <f t="shared" si="47"/>
        <v>441382.85292332183</v>
      </c>
      <c r="N68" s="475"/>
      <c r="O68" s="475"/>
      <c r="P68" s="475"/>
      <c r="Q68" s="475"/>
      <c r="R68" s="475"/>
      <c r="S68" s="475"/>
      <c r="T68" s="475"/>
      <c r="U68" s="475"/>
      <c r="V68" s="475"/>
    </row>
    <row r="69" spans="1:22" s="396" customFormat="1" ht="13.5" outlineLevel="1" thickBot="1">
      <c r="A69" s="150" t="s">
        <v>184</v>
      </c>
      <c r="B69" s="71"/>
      <c r="C69" s="476">
        <f t="shared" ref="C69:M69" si="48">C64*($D$113*(1+$B62)^C$4)</f>
        <v>0</v>
      </c>
      <c r="D69" s="471">
        <f t="shared" si="48"/>
        <v>0</v>
      </c>
      <c r="E69" s="471">
        <f t="shared" si="48"/>
        <v>0</v>
      </c>
      <c r="F69" s="471">
        <f t="shared" si="48"/>
        <v>0</v>
      </c>
      <c r="G69" s="470">
        <f t="shared" si="48"/>
        <v>0</v>
      </c>
      <c r="H69" s="471">
        <f t="shared" si="48"/>
        <v>0</v>
      </c>
      <c r="I69" s="472">
        <f t="shared" si="48"/>
        <v>0</v>
      </c>
      <c r="J69" s="471">
        <f t="shared" si="48"/>
        <v>0</v>
      </c>
      <c r="K69" s="471">
        <f t="shared" si="48"/>
        <v>0</v>
      </c>
      <c r="L69" s="471">
        <f t="shared" si="48"/>
        <v>451081.09649802948</v>
      </c>
      <c r="M69" s="472">
        <f t="shared" si="48"/>
        <v>464613.52939297038</v>
      </c>
      <c r="N69" s="475"/>
      <c r="O69" s="475"/>
      <c r="P69" s="475"/>
      <c r="Q69" s="475"/>
      <c r="R69" s="475"/>
      <c r="S69" s="475"/>
      <c r="T69" s="475"/>
      <c r="U69" s="475"/>
      <c r="V69" s="475"/>
    </row>
    <row r="70" spans="1:22" ht="14.1" customHeight="1">
      <c r="A70" s="66" t="s">
        <v>381</v>
      </c>
      <c r="B70" s="68"/>
      <c r="C70" s="147"/>
      <c r="D70" s="77"/>
      <c r="E70" s="77"/>
      <c r="F70" s="77"/>
      <c r="G70" s="67"/>
      <c r="H70" s="77"/>
      <c r="I70" s="122"/>
      <c r="J70" s="77"/>
      <c r="K70" s="77"/>
      <c r="L70" s="77"/>
      <c r="M70" s="122"/>
    </row>
    <row r="71" spans="1:22" ht="14.1" customHeight="1">
      <c r="A71" s="192" t="s">
        <v>11</v>
      </c>
      <c r="B71" s="138">
        <v>0.03</v>
      </c>
      <c r="C71" s="146"/>
      <c r="D71" s="117"/>
      <c r="E71" s="117"/>
      <c r="F71" s="117"/>
      <c r="G71" s="149"/>
      <c r="H71" s="117"/>
      <c r="I71" s="121"/>
      <c r="J71" s="117"/>
      <c r="K71" s="117"/>
      <c r="L71" s="117"/>
      <c r="M71" s="121"/>
    </row>
    <row r="72" spans="1:22" ht="14.1" customHeight="1">
      <c r="A72" s="192" t="s">
        <v>127</v>
      </c>
      <c r="B72" s="68"/>
      <c r="C72" s="412">
        <v>0</v>
      </c>
      <c r="D72" s="203">
        <f t="shared" ref="D72:L72" si="49">C72</f>
        <v>0</v>
      </c>
      <c r="E72" s="203">
        <f t="shared" si="49"/>
        <v>0</v>
      </c>
      <c r="F72" s="203">
        <f t="shared" si="49"/>
        <v>0</v>
      </c>
      <c r="G72" s="230">
        <f t="shared" si="49"/>
        <v>0</v>
      </c>
      <c r="H72" s="203">
        <f t="shared" si="49"/>
        <v>0</v>
      </c>
      <c r="I72" s="208">
        <f t="shared" si="49"/>
        <v>0</v>
      </c>
      <c r="J72" s="203">
        <f t="shared" si="49"/>
        <v>0</v>
      </c>
      <c r="K72" s="203">
        <f t="shared" si="49"/>
        <v>0</v>
      </c>
      <c r="L72" s="203">
        <f t="shared" si="49"/>
        <v>0</v>
      </c>
      <c r="M72" s="208">
        <f>C110</f>
        <v>31778</v>
      </c>
    </row>
    <row r="73" spans="1:22" ht="14.1" customHeight="1">
      <c r="A73" s="192" t="s">
        <v>40</v>
      </c>
      <c r="B73" s="138">
        <v>0.9</v>
      </c>
      <c r="C73" s="413">
        <f>C72*$B$73</f>
        <v>0</v>
      </c>
      <c r="D73" s="203">
        <f t="shared" ref="D73:M73" si="50">D72*$B$73</f>
        <v>0</v>
      </c>
      <c r="E73" s="203">
        <f t="shared" si="50"/>
        <v>0</v>
      </c>
      <c r="F73" s="203">
        <f t="shared" si="50"/>
        <v>0</v>
      </c>
      <c r="G73" s="230">
        <f t="shared" si="50"/>
        <v>0</v>
      </c>
      <c r="H73" s="203">
        <f t="shared" si="50"/>
        <v>0</v>
      </c>
      <c r="I73" s="208">
        <f t="shared" si="50"/>
        <v>0</v>
      </c>
      <c r="J73" s="203">
        <f t="shared" si="50"/>
        <v>0</v>
      </c>
      <c r="K73" s="203">
        <f t="shared" si="50"/>
        <v>0</v>
      </c>
      <c r="L73" s="203">
        <f t="shared" si="50"/>
        <v>0</v>
      </c>
      <c r="M73" s="208">
        <f t="shared" si="50"/>
        <v>28600.2</v>
      </c>
    </row>
    <row r="74" spans="1:22" ht="14.1" customHeight="1">
      <c r="A74" s="192" t="s">
        <v>45</v>
      </c>
      <c r="B74" s="116"/>
      <c r="C74" s="414">
        <v>1</v>
      </c>
      <c r="D74" s="119">
        <f t="shared" ref="D74:L74" si="51">C74</f>
        <v>1</v>
      </c>
      <c r="E74" s="119">
        <f t="shared" si="51"/>
        <v>1</v>
      </c>
      <c r="F74" s="119">
        <f t="shared" si="51"/>
        <v>1</v>
      </c>
      <c r="G74" s="287">
        <f t="shared" si="51"/>
        <v>1</v>
      </c>
      <c r="H74" s="119">
        <f t="shared" si="51"/>
        <v>1</v>
      </c>
      <c r="I74" s="238">
        <f t="shared" si="51"/>
        <v>1</v>
      </c>
      <c r="J74" s="119">
        <f t="shared" si="51"/>
        <v>1</v>
      </c>
      <c r="K74" s="119">
        <f t="shared" si="51"/>
        <v>1</v>
      </c>
      <c r="L74" s="119">
        <f t="shared" si="51"/>
        <v>1</v>
      </c>
      <c r="M74" s="235">
        <v>0.3</v>
      </c>
    </row>
    <row r="75" spans="1:22" ht="13.5" thickBot="1">
      <c r="A75" s="150" t="s">
        <v>128</v>
      </c>
      <c r="B75" s="71"/>
      <c r="C75" s="924">
        <f>C66</f>
        <v>20</v>
      </c>
      <c r="D75" s="307">
        <f t="shared" ref="D75:M75" si="52">$C$75*(1+$B$71)^D$4</f>
        <v>20.6</v>
      </c>
      <c r="E75" s="307">
        <f t="shared" si="52"/>
        <v>21.218</v>
      </c>
      <c r="F75" s="307">
        <f t="shared" si="52"/>
        <v>21.85454</v>
      </c>
      <c r="G75" s="320">
        <f t="shared" si="52"/>
        <v>22.510176199999997</v>
      </c>
      <c r="H75" s="307">
        <f t="shared" si="52"/>
        <v>23.185481485999997</v>
      </c>
      <c r="I75" s="308">
        <f t="shared" si="52"/>
        <v>23.881045930579997</v>
      </c>
      <c r="J75" s="307">
        <f t="shared" si="52"/>
        <v>24.5974773084974</v>
      </c>
      <c r="K75" s="307">
        <f t="shared" si="52"/>
        <v>25.335401627752319</v>
      </c>
      <c r="L75" s="307">
        <f t="shared" si="52"/>
        <v>26.095463676584888</v>
      </c>
      <c r="M75" s="308">
        <f t="shared" si="52"/>
        <v>26.878327586882435</v>
      </c>
      <c r="N75" s="423"/>
      <c r="O75" s="423"/>
      <c r="P75" s="423"/>
      <c r="Q75" s="423"/>
      <c r="R75" s="423"/>
      <c r="S75" s="423"/>
      <c r="T75" s="423"/>
      <c r="U75" s="423"/>
      <c r="V75" s="423"/>
    </row>
    <row r="76" spans="1:22" s="396" customFormat="1" outlineLevel="1">
      <c r="A76" s="352" t="s">
        <v>17</v>
      </c>
      <c r="B76" s="222"/>
      <c r="C76" s="265">
        <f>C73*(1-C74)*C75</f>
        <v>0</v>
      </c>
      <c r="D76" s="267">
        <f t="shared" ref="D76:M76" si="53">D73*(1-D74)*D75</f>
        <v>0</v>
      </c>
      <c r="E76" s="267">
        <f t="shared" si="53"/>
        <v>0</v>
      </c>
      <c r="F76" s="267">
        <f t="shared" si="53"/>
        <v>0</v>
      </c>
      <c r="G76" s="266">
        <f t="shared" si="53"/>
        <v>0</v>
      </c>
      <c r="H76" s="267">
        <f t="shared" si="53"/>
        <v>0</v>
      </c>
      <c r="I76" s="268">
        <f t="shared" si="53"/>
        <v>0</v>
      </c>
      <c r="J76" s="267">
        <f t="shared" si="53"/>
        <v>0</v>
      </c>
      <c r="K76" s="267">
        <f t="shared" si="53"/>
        <v>0</v>
      </c>
      <c r="L76" s="267">
        <f t="shared" si="53"/>
        <v>0</v>
      </c>
      <c r="M76" s="268">
        <f t="shared" si="53"/>
        <v>538107.88125524845</v>
      </c>
      <c r="N76" s="475"/>
      <c r="O76" s="475"/>
      <c r="P76" s="475"/>
      <c r="Q76" s="475"/>
      <c r="R76" s="475"/>
      <c r="S76" s="475"/>
      <c r="T76" s="475"/>
      <c r="U76" s="475"/>
      <c r="V76" s="475"/>
    </row>
    <row r="77" spans="1:22" s="396" customFormat="1" outlineLevel="1">
      <c r="A77" s="192" t="s">
        <v>183</v>
      </c>
      <c r="B77" s="68"/>
      <c r="C77" s="159">
        <f t="shared" ref="C77:M77" si="54">C73*(1-C74)*($D$113*(1+$B71)^C$4)</f>
        <v>0</v>
      </c>
      <c r="D77" s="258">
        <f t="shared" si="54"/>
        <v>0</v>
      </c>
      <c r="E77" s="258">
        <f t="shared" si="54"/>
        <v>0</v>
      </c>
      <c r="F77" s="258">
        <f t="shared" si="54"/>
        <v>0</v>
      </c>
      <c r="G77" s="269">
        <f t="shared" si="54"/>
        <v>0</v>
      </c>
      <c r="H77" s="258">
        <f t="shared" si="54"/>
        <v>0</v>
      </c>
      <c r="I77" s="270">
        <f t="shared" si="54"/>
        <v>0</v>
      </c>
      <c r="J77" s="258">
        <f t="shared" si="54"/>
        <v>0</v>
      </c>
      <c r="K77" s="258">
        <f t="shared" si="54"/>
        <v>0</v>
      </c>
      <c r="L77" s="258">
        <f t="shared" si="54"/>
        <v>0</v>
      </c>
      <c r="M77" s="270">
        <f t="shared" si="54"/>
        <v>242148.54656486184</v>
      </c>
      <c r="N77" s="475"/>
      <c r="O77" s="475"/>
      <c r="P77" s="475"/>
      <c r="Q77" s="475"/>
      <c r="R77" s="475"/>
      <c r="S77" s="475"/>
      <c r="T77" s="475"/>
      <c r="U77" s="475"/>
      <c r="V77" s="475"/>
    </row>
    <row r="78" spans="1:22" s="396" customFormat="1" ht="13.5" outlineLevel="1" thickBot="1">
      <c r="A78" s="150" t="s">
        <v>184</v>
      </c>
      <c r="B78" s="71"/>
      <c r="C78" s="476">
        <f t="shared" ref="C78:M78" si="55">C73*($D$113*(1+$B71)^C$4)</f>
        <v>0</v>
      </c>
      <c r="D78" s="471">
        <f t="shared" si="55"/>
        <v>0</v>
      </c>
      <c r="E78" s="471">
        <f t="shared" si="55"/>
        <v>0</v>
      </c>
      <c r="F78" s="471">
        <f t="shared" si="55"/>
        <v>0</v>
      </c>
      <c r="G78" s="470">
        <f t="shared" si="55"/>
        <v>0</v>
      </c>
      <c r="H78" s="471">
        <f t="shared" si="55"/>
        <v>0</v>
      </c>
      <c r="I78" s="472">
        <f t="shared" si="55"/>
        <v>0</v>
      </c>
      <c r="J78" s="471">
        <f t="shared" si="55"/>
        <v>0</v>
      </c>
      <c r="K78" s="471">
        <f t="shared" si="55"/>
        <v>0</v>
      </c>
      <c r="L78" s="471">
        <f t="shared" si="55"/>
        <v>0</v>
      </c>
      <c r="M78" s="472">
        <f t="shared" si="55"/>
        <v>345926.49509265978</v>
      </c>
      <c r="N78" s="475"/>
      <c r="O78" s="475"/>
      <c r="P78" s="475"/>
      <c r="Q78" s="475"/>
      <c r="R78" s="475"/>
      <c r="S78" s="475"/>
      <c r="T78" s="475"/>
      <c r="U78" s="475"/>
      <c r="V78" s="475"/>
    </row>
    <row r="79" spans="1:22" ht="13.5" thickBot="1">
      <c r="A79" s="217" t="s">
        <v>0</v>
      </c>
      <c r="B79" s="214"/>
      <c r="C79" s="223"/>
      <c r="D79" s="264"/>
      <c r="E79" s="220"/>
      <c r="F79" s="221"/>
      <c r="G79" s="264"/>
      <c r="H79" s="220"/>
      <c r="I79" s="221"/>
      <c r="J79" s="264"/>
      <c r="K79" s="220"/>
      <c r="L79" s="220"/>
      <c r="M79" s="221"/>
    </row>
    <row r="80" spans="1:22">
      <c r="A80" s="192" t="s">
        <v>17</v>
      </c>
      <c r="B80" s="68"/>
      <c r="C80" s="154">
        <f>SUM(C13,C22,C31,C40,C49,C58,C67,C76)</f>
        <v>0</v>
      </c>
      <c r="D80" s="279">
        <f t="shared" ref="D80:M80" si="56">SUM(D13,D22,D31,D40,D49,D58,D67,D76)</f>
        <v>0</v>
      </c>
      <c r="E80" s="248">
        <f t="shared" si="56"/>
        <v>1255895.0113499998</v>
      </c>
      <c r="F80" s="262">
        <f t="shared" si="56"/>
        <v>3233017.0086358497</v>
      </c>
      <c r="G80" s="279">
        <f t="shared" si="56"/>
        <v>3873499.9661205849</v>
      </c>
      <c r="H80" s="248">
        <f t="shared" si="56"/>
        <v>6345816.7005660404</v>
      </c>
      <c r="I80" s="262">
        <f t="shared" si="56"/>
        <v>8542178.3333919793</v>
      </c>
      <c r="J80" s="279">
        <f t="shared" si="56"/>
        <v>9798835.3412233982</v>
      </c>
      <c r="K80" s="248">
        <f t="shared" si="56"/>
        <v>10306636.258278655</v>
      </c>
      <c r="L80" s="248">
        <f t="shared" si="56"/>
        <v>11317517.051690614</v>
      </c>
      <c r="M80" s="262">
        <f t="shared" si="56"/>
        <v>12453269.07193712</v>
      </c>
    </row>
    <row r="81" spans="1:14">
      <c r="A81" s="192" t="s">
        <v>132</v>
      </c>
      <c r="B81" s="68"/>
      <c r="C81" s="159">
        <f>SUM(C14,C23,C32,C41,C50,C59,C68,C77)</f>
        <v>0</v>
      </c>
      <c r="D81" s="269">
        <f t="shared" ref="D81:M81" si="57">SUM(D14,D23,D32,D41,D50,D59,D68,D77)</f>
        <v>0</v>
      </c>
      <c r="E81" s="258">
        <f t="shared" si="57"/>
        <v>466998.04840500001</v>
      </c>
      <c r="F81" s="270">
        <f t="shared" si="57"/>
        <v>1317651.396016995</v>
      </c>
      <c r="G81" s="269">
        <f t="shared" si="57"/>
        <v>1601752.5391490515</v>
      </c>
      <c r="H81" s="258">
        <f t="shared" si="57"/>
        <v>2710055.3962813504</v>
      </c>
      <c r="I81" s="270">
        <f t="shared" si="57"/>
        <v>3694051.2674838216</v>
      </c>
      <c r="J81" s="269">
        <f t="shared" si="57"/>
        <v>4167853.8477804274</v>
      </c>
      <c r="K81" s="258">
        <f t="shared" si="57"/>
        <v>4357040.2202594057</v>
      </c>
      <c r="L81" s="258">
        <f t="shared" si="57"/>
        <v>4803508.1944158087</v>
      </c>
      <c r="M81" s="270">
        <f t="shared" si="57"/>
        <v>5305915.3691613888</v>
      </c>
    </row>
    <row r="82" spans="1:14" s="395" customFormat="1">
      <c r="A82" s="254" t="s">
        <v>133</v>
      </c>
      <c r="B82" s="401"/>
      <c r="C82" s="165">
        <f>-SUM(C15,C24,C33,C42,C51,C60,C69,C78)</f>
        <v>0</v>
      </c>
      <c r="D82" s="334">
        <f t="shared" ref="D82:M82" si="58">-SUM(D15,D24,D33,D42,D51,D60,D69,D78)</f>
        <v>0</v>
      </c>
      <c r="E82" s="335">
        <f t="shared" si="58"/>
        <v>-667140.06915</v>
      </c>
      <c r="F82" s="336">
        <f t="shared" si="58"/>
        <v>-1636946.8974441001</v>
      </c>
      <c r="G82" s="334">
        <f t="shared" si="58"/>
        <v>-1686055.3043674226</v>
      </c>
      <c r="H82" s="335">
        <f t="shared" si="58"/>
        <v>-3251280.2220096281</v>
      </c>
      <c r="I82" s="336">
        <f t="shared" si="58"/>
        <v>-4081209.4433090612</v>
      </c>
      <c r="J82" s="334">
        <f t="shared" si="58"/>
        <v>-4452774.8801833484</v>
      </c>
      <c r="K82" s="335">
        <f t="shared" si="58"/>
        <v>-4586358.1265888484</v>
      </c>
      <c r="L82" s="335">
        <f t="shared" si="58"/>
        <v>-5175029.9668845432</v>
      </c>
      <c r="M82" s="336">
        <f t="shared" si="58"/>
        <v>-5676207.3609837415</v>
      </c>
      <c r="N82" s="417"/>
    </row>
    <row r="83" spans="1:14" ht="14.1" customHeight="1" thickBot="1">
      <c r="A83" s="415" t="s">
        <v>5</v>
      </c>
      <c r="B83" s="71"/>
      <c r="C83" s="281">
        <f>SUM(C80:C82)</f>
        <v>0</v>
      </c>
      <c r="D83" s="282">
        <f t="shared" ref="D83:M83" si="59">SUM(D80:D82)</f>
        <v>0</v>
      </c>
      <c r="E83" s="256">
        <f t="shared" si="59"/>
        <v>1055752.9906049999</v>
      </c>
      <c r="F83" s="257">
        <f t="shared" si="59"/>
        <v>2913721.507208745</v>
      </c>
      <c r="G83" s="282">
        <f t="shared" si="59"/>
        <v>3789197.2009022138</v>
      </c>
      <c r="H83" s="256">
        <f t="shared" si="59"/>
        <v>5804591.8748377627</v>
      </c>
      <c r="I83" s="257">
        <f t="shared" si="59"/>
        <v>8155020.1575667392</v>
      </c>
      <c r="J83" s="282">
        <f t="shared" si="59"/>
        <v>9513914.3088204768</v>
      </c>
      <c r="K83" s="256">
        <f t="shared" si="59"/>
        <v>10077318.351949211</v>
      </c>
      <c r="L83" s="256">
        <f t="shared" si="59"/>
        <v>10945995.279221881</v>
      </c>
      <c r="M83" s="257">
        <f t="shared" si="59"/>
        <v>12082977.080114767</v>
      </c>
    </row>
    <row r="84" spans="1:14" ht="13.5" thickBot="1">
      <c r="A84" s="217" t="s">
        <v>2</v>
      </c>
      <c r="B84" s="214"/>
      <c r="C84" s="223"/>
      <c r="D84" s="264"/>
      <c r="E84" s="220"/>
      <c r="F84" s="221"/>
      <c r="G84" s="264"/>
      <c r="H84" s="220"/>
      <c r="I84" s="221"/>
      <c r="J84" s="264"/>
      <c r="K84" s="220"/>
      <c r="L84" s="220"/>
      <c r="M84" s="221"/>
    </row>
    <row r="85" spans="1:14" ht="14.1" customHeight="1">
      <c r="A85" s="891" t="s">
        <v>134</v>
      </c>
      <c r="B85" s="68"/>
      <c r="C85" s="922">
        <f>'Summary Board'!F99</f>
        <v>200.354364</v>
      </c>
      <c r="D85" s="231">
        <f>$C85*(1+$B$8)^D$4</f>
        <v>206.36499492000002</v>
      </c>
      <c r="E85" s="218">
        <f t="shared" ref="E85:M87" si="60">$C85*(1+$B$8)^E$4</f>
        <v>212.55594476759998</v>
      </c>
      <c r="F85" s="219">
        <f t="shared" si="60"/>
        <v>218.93262311062801</v>
      </c>
      <c r="G85" s="231">
        <f t="shared" si="60"/>
        <v>225.50060180394684</v>
      </c>
      <c r="H85" s="218">
        <f t="shared" si="60"/>
        <v>232.26561985806521</v>
      </c>
      <c r="I85" s="219">
        <f t="shared" si="60"/>
        <v>239.23358845380719</v>
      </c>
      <c r="J85" s="231">
        <f t="shared" si="60"/>
        <v>246.41059610742141</v>
      </c>
      <c r="K85" s="218">
        <f t="shared" si="60"/>
        <v>253.80291399064404</v>
      </c>
      <c r="L85" s="218">
        <f t="shared" si="60"/>
        <v>261.41700141036335</v>
      </c>
      <c r="M85" s="219">
        <f t="shared" si="60"/>
        <v>269.25951145267425</v>
      </c>
    </row>
    <row r="86" spans="1:14" ht="14.1" customHeight="1">
      <c r="A86" s="891" t="s">
        <v>135</v>
      </c>
      <c r="B86" s="68"/>
      <c r="C86" s="923">
        <f>'Summary Board'!F100</f>
        <v>319.900284</v>
      </c>
      <c r="D86" s="418">
        <f>$C86*(1+$B$8)^D$4</f>
        <v>329.49729252000003</v>
      </c>
      <c r="E86" s="419">
        <f t="shared" si="60"/>
        <v>339.38221129559997</v>
      </c>
      <c r="F86" s="420">
        <f t="shared" si="60"/>
        <v>349.56367763446798</v>
      </c>
      <c r="G86" s="418">
        <f t="shared" si="60"/>
        <v>360.05058796350204</v>
      </c>
      <c r="H86" s="419">
        <f t="shared" si="60"/>
        <v>370.85210560240705</v>
      </c>
      <c r="I86" s="420">
        <f t="shared" si="60"/>
        <v>381.97766877047928</v>
      </c>
      <c r="J86" s="418">
        <f t="shared" si="60"/>
        <v>393.43699883359369</v>
      </c>
      <c r="K86" s="419">
        <f t="shared" si="60"/>
        <v>405.24010879860145</v>
      </c>
      <c r="L86" s="419">
        <f t="shared" si="60"/>
        <v>417.39731206255954</v>
      </c>
      <c r="M86" s="420">
        <f t="shared" si="60"/>
        <v>429.9192314244363</v>
      </c>
    </row>
    <row r="87" spans="1:14" ht="14.1" customHeight="1">
      <c r="A87" s="891" t="s">
        <v>136</v>
      </c>
      <c r="B87" s="68"/>
      <c r="C87" s="923">
        <f>'Summary Board'!F101</f>
        <v>158.60269600000004</v>
      </c>
      <c r="D87" s="418">
        <f>$C87*(1+$B$8)^D$4</f>
        <v>163.36077688000003</v>
      </c>
      <c r="E87" s="419">
        <f t="shared" si="60"/>
        <v>168.26160018640005</v>
      </c>
      <c r="F87" s="420">
        <f t="shared" si="60"/>
        <v>173.30944819199203</v>
      </c>
      <c r="G87" s="418">
        <f t="shared" si="60"/>
        <v>178.50873163775179</v>
      </c>
      <c r="H87" s="419">
        <f t="shared" si="60"/>
        <v>183.86399358688433</v>
      </c>
      <c r="I87" s="420">
        <f t="shared" si="60"/>
        <v>189.37991339449087</v>
      </c>
      <c r="J87" s="418">
        <f t="shared" si="60"/>
        <v>195.06131079632561</v>
      </c>
      <c r="K87" s="419">
        <f t="shared" si="60"/>
        <v>200.91315012021536</v>
      </c>
      <c r="L87" s="419">
        <f t="shared" si="60"/>
        <v>206.94054462382184</v>
      </c>
      <c r="M87" s="420">
        <f t="shared" si="60"/>
        <v>213.14876096253647</v>
      </c>
    </row>
    <row r="88" spans="1:14" ht="14.1" customHeight="1">
      <c r="A88" s="192" t="s">
        <v>13</v>
      </c>
      <c r="B88" s="68"/>
      <c r="C88" s="277">
        <f>C89/SUM($C$89:$M$89)</f>
        <v>0</v>
      </c>
      <c r="D88" s="278">
        <f t="shared" ref="D88:M88" si="61">D89/SUM($C$89:$M$89)</f>
        <v>0</v>
      </c>
      <c r="E88" s="205">
        <f t="shared" si="61"/>
        <v>0.13560856042782912</v>
      </c>
      <c r="F88" s="261">
        <f t="shared" si="61"/>
        <v>0.12870861428016717</v>
      </c>
      <c r="G88" s="278">
        <f t="shared" si="61"/>
        <v>6.6284936354286103E-2</v>
      </c>
      <c r="H88" s="205">
        <f t="shared" si="61"/>
        <v>0.3078792615621409</v>
      </c>
      <c r="I88" s="261">
        <f t="shared" si="61"/>
        <v>0.14887198151704573</v>
      </c>
      <c r="J88" s="278">
        <f t="shared" si="61"/>
        <v>5.0640109085271286E-2</v>
      </c>
      <c r="K88" s="205">
        <f t="shared" si="61"/>
        <v>0</v>
      </c>
      <c r="L88" s="205">
        <f t="shared" si="61"/>
        <v>9.169057737791321E-2</v>
      </c>
      <c r="M88" s="261">
        <f t="shared" si="61"/>
        <v>7.0315959395346544E-2</v>
      </c>
    </row>
    <row r="89" spans="1:14" ht="14.1" customHeight="1">
      <c r="A89" s="192" t="s">
        <v>2</v>
      </c>
      <c r="B89" s="68"/>
      <c r="C89" s="421">
        <v>0</v>
      </c>
      <c r="D89" s="284">
        <f>'Development Schedule'!D77*'8.Market-Rate Retail'!C85</f>
        <v>0</v>
      </c>
      <c r="E89" s="249">
        <f>'Development Schedule'!E77*'8.Market-Rate Retail'!D85</f>
        <v>16021146.380614201</v>
      </c>
      <c r="F89" s="253">
        <f>'Development Schedule'!F77*'8.Market-Rate Retail'!E85</f>
        <v>15205968.880747743</v>
      </c>
      <c r="G89" s="284">
        <f>'Development Schedule'!G77*'8.Market-Rate Retail'!F85</f>
        <v>7831073.9735850897</v>
      </c>
      <c r="H89" s="249">
        <f>'Development Schedule'!H77*'8.Market-Rate Retail'!G85</f>
        <v>36373652.972059868</v>
      </c>
      <c r="I89" s="253">
        <f>'Development Schedule'!I77*'8.Market-Rate Retail'!H85</f>
        <v>17588121.283287507</v>
      </c>
      <c r="J89" s="284">
        <f>'Development Schedule'!J77*'8.Market-Rate Retail'!I85</f>
        <v>5982753.5800528098</v>
      </c>
      <c r="K89" s="249">
        <f>'Development Schedule'!K77*'8.Market-Rate Retail'!J85</f>
        <v>0</v>
      </c>
      <c r="L89" s="249">
        <f>'Development Schedule'!L77*'8.Market-Rate Retail'!K85</f>
        <v>10832562.172034679</v>
      </c>
      <c r="M89" s="253">
        <f>'Development Schedule'!M77*'8.Market-Rate Retail'!L85</f>
        <v>8307309.470818527</v>
      </c>
    </row>
    <row r="90" spans="1:14" ht="14.1" customHeight="1">
      <c r="A90" s="951" t="s">
        <v>14</v>
      </c>
      <c r="B90" s="259"/>
      <c r="C90" s="184"/>
      <c r="D90" s="280"/>
      <c r="E90" s="260"/>
      <c r="F90" s="263"/>
      <c r="G90" s="280"/>
      <c r="H90" s="260"/>
      <c r="I90" s="263"/>
      <c r="J90" s="280"/>
      <c r="K90" s="260"/>
      <c r="L90" s="260"/>
      <c r="M90" s="263"/>
    </row>
    <row r="91" spans="1:14" ht="13.5" thickBot="1">
      <c r="A91" s="415" t="s">
        <v>3</v>
      </c>
      <c r="B91" s="71"/>
      <c r="C91" s="281">
        <f>SUM(C89:C90)</f>
        <v>0</v>
      </c>
      <c r="D91" s="282">
        <f t="shared" ref="D91:M91" si="62">SUM(D89:D90)</f>
        <v>0</v>
      </c>
      <c r="E91" s="256">
        <f t="shared" si="62"/>
        <v>16021146.380614201</v>
      </c>
      <c r="F91" s="257">
        <f t="shared" si="62"/>
        <v>15205968.880747743</v>
      </c>
      <c r="G91" s="282">
        <f t="shared" si="62"/>
        <v>7831073.9735850897</v>
      </c>
      <c r="H91" s="256">
        <f t="shared" si="62"/>
        <v>36373652.972059868</v>
      </c>
      <c r="I91" s="257">
        <f t="shared" si="62"/>
        <v>17588121.283287507</v>
      </c>
      <c r="J91" s="282">
        <f t="shared" si="62"/>
        <v>5982753.5800528098</v>
      </c>
      <c r="K91" s="256">
        <f t="shared" si="62"/>
        <v>0</v>
      </c>
      <c r="L91" s="256">
        <f t="shared" si="62"/>
        <v>10832562.172034679</v>
      </c>
      <c r="M91" s="257">
        <f t="shared" si="62"/>
        <v>8307309.470818527</v>
      </c>
    </row>
    <row r="92" spans="1:14" ht="14.1" customHeight="1" thickBot="1">
      <c r="A92" s="217" t="s">
        <v>4</v>
      </c>
      <c r="B92" s="214"/>
      <c r="C92" s="223"/>
      <c r="D92" s="264"/>
      <c r="E92" s="220"/>
      <c r="F92" s="221"/>
      <c r="G92" s="264"/>
      <c r="H92" s="220"/>
      <c r="I92" s="221"/>
      <c r="J92" s="264"/>
      <c r="K92" s="220"/>
      <c r="L92" s="220"/>
      <c r="M92" s="221"/>
    </row>
    <row r="93" spans="1:14" ht="14.1" customHeight="1">
      <c r="A93" s="192" t="s">
        <v>5</v>
      </c>
      <c r="B93" s="68"/>
      <c r="C93" s="154">
        <f>C83</f>
        <v>0</v>
      </c>
      <c r="D93" s="279">
        <f>D83</f>
        <v>0</v>
      </c>
      <c r="E93" s="248">
        <f t="shared" ref="E93:M93" si="63">E83</f>
        <v>1055752.9906049999</v>
      </c>
      <c r="F93" s="262">
        <f t="shared" si="63"/>
        <v>2913721.507208745</v>
      </c>
      <c r="G93" s="279">
        <f t="shared" si="63"/>
        <v>3789197.2009022138</v>
      </c>
      <c r="H93" s="248">
        <f t="shared" si="63"/>
        <v>5804591.8748377627</v>
      </c>
      <c r="I93" s="262">
        <f t="shared" si="63"/>
        <v>8155020.1575667392</v>
      </c>
      <c r="J93" s="279">
        <f t="shared" si="63"/>
        <v>9513914.3088204768</v>
      </c>
      <c r="K93" s="248">
        <f t="shared" si="63"/>
        <v>10077318.351949211</v>
      </c>
      <c r="L93" s="248">
        <f t="shared" si="63"/>
        <v>10945995.279221881</v>
      </c>
      <c r="M93" s="262">
        <f t="shared" si="63"/>
        <v>12082977.080114767</v>
      </c>
    </row>
    <row r="94" spans="1:14" ht="14.1" customHeight="1">
      <c r="A94" s="192" t="s">
        <v>60</v>
      </c>
      <c r="B94" s="119">
        <f>D114</f>
        <v>6.2E-2</v>
      </c>
      <c r="C94" s="159">
        <v>0</v>
      </c>
      <c r="D94" s="269">
        <f>C94</f>
        <v>0</v>
      </c>
      <c r="E94" s="258">
        <f t="shared" ref="E94:L95" si="64">D94</f>
        <v>0</v>
      </c>
      <c r="F94" s="270">
        <f t="shared" si="64"/>
        <v>0</v>
      </c>
      <c r="G94" s="269">
        <f t="shared" si="64"/>
        <v>0</v>
      </c>
      <c r="H94" s="258">
        <f t="shared" si="64"/>
        <v>0</v>
      </c>
      <c r="I94" s="270">
        <f t="shared" si="64"/>
        <v>0</v>
      </c>
      <c r="J94" s="269">
        <f t="shared" si="64"/>
        <v>0</v>
      </c>
      <c r="K94" s="258">
        <f t="shared" si="64"/>
        <v>0</v>
      </c>
      <c r="L94" s="258">
        <f t="shared" si="64"/>
        <v>0</v>
      </c>
      <c r="M94" s="270">
        <f>M93/B94</f>
        <v>194886727.09862527</v>
      </c>
    </row>
    <row r="95" spans="1:14" ht="14.1" customHeight="1">
      <c r="A95" s="192" t="s">
        <v>61</v>
      </c>
      <c r="B95" s="119">
        <f>D115</f>
        <v>0.03</v>
      </c>
      <c r="C95" s="159">
        <v>0</v>
      </c>
      <c r="D95" s="269">
        <f>C95</f>
        <v>0</v>
      </c>
      <c r="E95" s="258">
        <f t="shared" si="64"/>
        <v>0</v>
      </c>
      <c r="F95" s="270">
        <f t="shared" si="64"/>
        <v>0</v>
      </c>
      <c r="G95" s="269">
        <f t="shared" si="64"/>
        <v>0</v>
      </c>
      <c r="H95" s="258">
        <f t="shared" si="64"/>
        <v>0</v>
      </c>
      <c r="I95" s="270">
        <f t="shared" si="64"/>
        <v>0</v>
      </c>
      <c r="J95" s="269">
        <f t="shared" si="64"/>
        <v>0</v>
      </c>
      <c r="K95" s="258">
        <f t="shared" si="64"/>
        <v>0</v>
      </c>
      <c r="L95" s="258">
        <f t="shared" si="64"/>
        <v>0</v>
      </c>
      <c r="M95" s="270">
        <f>M94*-B95</f>
        <v>-5846601.8129587583</v>
      </c>
    </row>
    <row r="96" spans="1:14">
      <c r="A96" s="254" t="s">
        <v>119</v>
      </c>
      <c r="B96" s="327"/>
      <c r="C96" s="285">
        <f>-C91</f>
        <v>0</v>
      </c>
      <c r="D96" s="286">
        <f t="shared" ref="D96:M96" si="65">-D91</f>
        <v>0</v>
      </c>
      <c r="E96" s="252">
        <f t="shared" si="65"/>
        <v>-16021146.380614201</v>
      </c>
      <c r="F96" s="255">
        <f t="shared" si="65"/>
        <v>-15205968.880747743</v>
      </c>
      <c r="G96" s="286">
        <f t="shared" si="65"/>
        <v>-7831073.9735850897</v>
      </c>
      <c r="H96" s="252">
        <f t="shared" si="65"/>
        <v>-36373652.972059868</v>
      </c>
      <c r="I96" s="255">
        <f t="shared" si="65"/>
        <v>-17588121.283287507</v>
      </c>
      <c r="J96" s="286">
        <f t="shared" si="65"/>
        <v>-5982753.5800528098</v>
      </c>
      <c r="K96" s="252">
        <f t="shared" si="65"/>
        <v>0</v>
      </c>
      <c r="L96" s="252">
        <f t="shared" si="65"/>
        <v>-10832562.172034679</v>
      </c>
      <c r="M96" s="255">
        <f t="shared" si="65"/>
        <v>-8307309.470818527</v>
      </c>
    </row>
    <row r="97" spans="1:13" ht="13.5" thickBot="1">
      <c r="A97" s="415" t="s">
        <v>6</v>
      </c>
      <c r="B97" s="128"/>
      <c r="C97" s="281">
        <f>SUM(C93:C96)</f>
        <v>0</v>
      </c>
      <c r="D97" s="282">
        <f t="shared" ref="D97:M97" si="66">SUM(D93:D96)</f>
        <v>0</v>
      </c>
      <c r="E97" s="256">
        <f t="shared" si="66"/>
        <v>-14965393.3900092</v>
      </c>
      <c r="F97" s="257">
        <f t="shared" si="66"/>
        <v>-12292247.373538997</v>
      </c>
      <c r="G97" s="282">
        <f t="shared" si="66"/>
        <v>-4041876.7726828759</v>
      </c>
      <c r="H97" s="256">
        <f t="shared" si="66"/>
        <v>-30569061.097222105</v>
      </c>
      <c r="I97" s="257">
        <f t="shared" si="66"/>
        <v>-9433101.1257207673</v>
      </c>
      <c r="J97" s="282">
        <f t="shared" si="66"/>
        <v>3531160.728767667</v>
      </c>
      <c r="K97" s="256">
        <f t="shared" si="66"/>
        <v>10077318.351949211</v>
      </c>
      <c r="L97" s="256">
        <f t="shared" si="66"/>
        <v>113433.1071872022</v>
      </c>
      <c r="M97" s="257">
        <f t="shared" si="66"/>
        <v>192815792.89496276</v>
      </c>
    </row>
    <row r="98" spans="1:13" ht="13.5" thickBot="1">
      <c r="A98" s="125" t="s">
        <v>27</v>
      </c>
      <c r="B98" s="116"/>
      <c r="C98" s="409">
        <f>C97+NPV(D116,D97:M97)</f>
        <v>38045082.30834797</v>
      </c>
      <c r="D98" s="406"/>
      <c r="E98" s="407"/>
      <c r="F98" s="408"/>
      <c r="G98" s="406"/>
      <c r="H98" s="407"/>
      <c r="I98" s="408"/>
      <c r="J98" s="118"/>
      <c r="K98" s="118"/>
      <c r="L98" s="118"/>
      <c r="M98" s="207"/>
    </row>
    <row r="99" spans="1:13" ht="13.5" thickBot="1">
      <c r="A99" s="91" t="s">
        <v>62</v>
      </c>
      <c r="B99" s="169"/>
      <c r="C99" s="292">
        <f>IRR(C97:M97,0)</f>
        <v>0.19766922133862619</v>
      </c>
      <c r="D99" s="273"/>
      <c r="E99" s="169"/>
      <c r="F99" s="191"/>
      <c r="G99" s="273"/>
      <c r="H99" s="169"/>
      <c r="I99" s="191"/>
      <c r="J99" s="169"/>
      <c r="K99" s="169"/>
      <c r="L99" s="169"/>
      <c r="M99" s="191"/>
    </row>
    <row r="100" spans="1:13" ht="13.5" thickBot="1">
      <c r="A100" s="410"/>
      <c r="B100" s="68"/>
      <c r="C100" s="424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1:13" ht="13.5" thickBot="1">
      <c r="A101" s="202" t="s">
        <v>110</v>
      </c>
      <c r="B101" s="175"/>
      <c r="C101" s="175"/>
      <c r="D101" s="201"/>
      <c r="E101" s="39"/>
      <c r="F101" s="39"/>
      <c r="G101" s="378"/>
      <c r="H101" s="39"/>
      <c r="I101" s="39"/>
      <c r="J101" s="39"/>
      <c r="K101" s="39"/>
      <c r="L101" s="39"/>
      <c r="M101" s="39"/>
    </row>
    <row r="102" spans="1:13" ht="13.5" thickBot="1">
      <c r="A102" s="89"/>
      <c r="B102" s="169"/>
      <c r="C102" s="94" t="s">
        <v>129</v>
      </c>
      <c r="D102" s="95" t="s">
        <v>130</v>
      </c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>
      <c r="A103" s="861" t="s">
        <v>375</v>
      </c>
      <c r="B103" s="872"/>
      <c r="C103" s="349">
        <f>'Development Schedule'!C17+'Development Schedule'!C19</f>
        <v>32635</v>
      </c>
      <c r="D103" s="208">
        <f>C103*$B$10</f>
        <v>29371.5</v>
      </c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>
      <c r="A104" s="861" t="s">
        <v>374</v>
      </c>
      <c r="B104" s="872"/>
      <c r="C104" s="349">
        <f>'Development Schedule'!C9+'Development Schedule'!C11</f>
        <v>45000</v>
      </c>
      <c r="D104" s="208">
        <f>C104*$B$19</f>
        <v>40500</v>
      </c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>
      <c r="A105" s="861" t="s">
        <v>377</v>
      </c>
      <c r="B105" s="872"/>
      <c r="C105" s="349">
        <f>'Development Schedule'!C27+'Development Schedule'!C31</f>
        <v>107308</v>
      </c>
      <c r="D105" s="208">
        <f>C105*$B$28</f>
        <v>96577.2</v>
      </c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3">
      <c r="A106" s="861" t="s">
        <v>378</v>
      </c>
      <c r="B106" s="872"/>
      <c r="C106" s="349">
        <f>'Development Schedule'!C37</f>
        <v>161301.79999999999</v>
      </c>
      <c r="D106" s="208">
        <f>C106*$B$37</f>
        <v>145171.62</v>
      </c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>
      <c r="A107" s="861" t="s">
        <v>382</v>
      </c>
      <c r="B107" s="872"/>
      <c r="C107" s="349">
        <f>'Development Schedule'!C42+'Development Schedule'!C45+'Development Schedule'!C48+'Development Schedule'!C51</f>
        <v>75724.17</v>
      </c>
      <c r="D107" s="208">
        <f>C107*$B$46</f>
        <v>68151.752999999997</v>
      </c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1:13">
      <c r="A108" s="861" t="s">
        <v>379</v>
      </c>
      <c r="B108" s="872"/>
      <c r="C108" s="349">
        <f>'Development Schedule'!C53</f>
        <v>25008</v>
      </c>
      <c r="D108" s="208">
        <f>C108*$B$55</f>
        <v>22507.200000000001</v>
      </c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>
      <c r="A109" s="861" t="s">
        <v>380</v>
      </c>
      <c r="B109" s="872"/>
      <c r="C109" s="349">
        <f>'Development Schedule'!C61+'Development Schedule'!C62</f>
        <v>42681</v>
      </c>
      <c r="D109" s="208">
        <f>C109*$B$64</f>
        <v>38412.9</v>
      </c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>
      <c r="A110" s="861" t="s">
        <v>381</v>
      </c>
      <c r="B110" s="872"/>
      <c r="C110" s="349">
        <f>'Development Schedule'!C65+'Development Schedule'!C71</f>
        <v>31778</v>
      </c>
      <c r="D110" s="208">
        <f>C110*$B$73</f>
        <v>28600.2</v>
      </c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3.5" thickBot="1">
      <c r="A111" s="39"/>
      <c r="B111" s="61"/>
      <c r="C111" s="61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ht="13.5" thickBot="1">
      <c r="A112" s="202" t="s">
        <v>120</v>
      </c>
      <c r="B112" s="275"/>
      <c r="C112" s="275"/>
      <c r="D112" s="276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>
      <c r="A113" s="844" t="s">
        <v>131</v>
      </c>
      <c r="B113" s="68"/>
      <c r="C113" s="68"/>
      <c r="D113" s="174">
        <f>C12*0.3</f>
        <v>9</v>
      </c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1:13">
      <c r="A114" s="67" t="s">
        <v>121</v>
      </c>
      <c r="B114" s="68"/>
      <c r="C114" s="68"/>
      <c r="D114" s="925">
        <f>'Summary Board'!K123</f>
        <v>6.2E-2</v>
      </c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>
      <c r="A115" s="67" t="s">
        <v>122</v>
      </c>
      <c r="B115" s="68"/>
      <c r="C115" s="68"/>
      <c r="D115" s="400">
        <v>0.03</v>
      </c>
      <c r="E115" s="39"/>
      <c r="F115" s="39"/>
      <c r="G115" s="39"/>
      <c r="H115" s="39"/>
      <c r="I115" s="39"/>
      <c r="J115" s="39"/>
      <c r="K115" s="39"/>
      <c r="L115" s="39"/>
      <c r="M115" s="39"/>
    </row>
    <row r="116" spans="1:13" ht="13.5" thickBot="1">
      <c r="A116" s="70" t="s">
        <v>106</v>
      </c>
      <c r="B116" s="71"/>
      <c r="C116" s="71"/>
      <c r="D116" s="141">
        <v>0.09</v>
      </c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>
      <c r="A117" s="39"/>
      <c r="B117" s="61"/>
      <c r="C117" s="61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</sheetData>
  <phoneticPr fontId="3" type="noConversion"/>
  <printOptions horizontalCentered="1"/>
  <pageMargins left="0.5" right="0.5" top="1" bottom="0.5" header="0.5" footer="0.5"/>
  <pageSetup scale="51" fitToHeight="2" orientation="landscape" r:id="rId1"/>
  <headerFooter alignWithMargins="0">
    <oddHeader>&amp;L&amp;"Arial,Bold"6. Income Statement: Retail</oddHeader>
  </headerFooter>
  <ignoredErrors>
    <ignoredError sqref="F10 G10:M10 G19:M19 G28:M28 D37:M37 D46:M46 D55:M55 D64:M64 D73:M73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85" zoomScaleNormal="100" zoomScaleSheetLayoutView="85" workbookViewId="0">
      <selection activeCell="C20" sqref="C20:M20"/>
    </sheetView>
  </sheetViews>
  <sheetFormatPr defaultColWidth="9.140625" defaultRowHeight="12.75"/>
  <cols>
    <col min="1" max="1" width="23.140625" style="107" customWidth="1"/>
    <col min="2" max="2" width="12.7109375" style="108" customWidth="1"/>
    <col min="3" max="3" width="13.7109375" style="108" customWidth="1"/>
    <col min="4" max="13" width="13.7109375" style="107" customWidth="1"/>
    <col min="14" max="14" width="14.28515625" style="107" bestFit="1" customWidth="1"/>
    <col min="15" max="16384" width="9.140625" style="107"/>
  </cols>
  <sheetData>
    <row r="1" spans="1:14" ht="14.1" customHeight="1" thickBot="1">
      <c r="A1" s="39"/>
      <c r="B1" s="61"/>
      <c r="C1" s="6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4" ht="14.1" customHeight="1" thickBot="1">
      <c r="A2" s="39"/>
      <c r="B2" s="61"/>
      <c r="C2" s="61"/>
      <c r="D2" s="39"/>
      <c r="E2" s="39"/>
      <c r="F2" s="39"/>
      <c r="G2" s="39"/>
      <c r="H2" s="39"/>
      <c r="I2" s="39"/>
      <c r="J2" s="39"/>
      <c r="K2" s="39"/>
      <c r="L2" s="392"/>
      <c r="M2" s="393"/>
    </row>
    <row r="3" spans="1:14" ht="14.1" customHeight="1" thickBot="1">
      <c r="A3" s="139"/>
      <c r="B3" s="222"/>
      <c r="C3" s="145" t="s">
        <v>58</v>
      </c>
      <c r="D3" s="114" t="s">
        <v>37</v>
      </c>
      <c r="E3" s="115"/>
      <c r="F3" s="46"/>
      <c r="G3" s="114" t="s">
        <v>80</v>
      </c>
      <c r="H3" s="160"/>
      <c r="I3" s="46"/>
      <c r="J3" s="44" t="s">
        <v>81</v>
      </c>
      <c r="K3" s="44"/>
      <c r="L3" s="45"/>
      <c r="M3" s="46"/>
    </row>
    <row r="4" spans="1:14" ht="14.1" customHeight="1" thickBot="1">
      <c r="A4" s="67"/>
      <c r="B4" s="68"/>
      <c r="C4" s="153">
        <v>0</v>
      </c>
      <c r="D4" s="49">
        <f>C4+1</f>
        <v>1</v>
      </c>
      <c r="E4" s="48">
        <f t="shared" ref="E4:M5" si="0">D4+1</f>
        <v>2</v>
      </c>
      <c r="F4" s="50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1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14" ht="14.1" customHeight="1" thickBot="1">
      <c r="A5" s="70"/>
      <c r="B5" s="152"/>
      <c r="C5" s="153" t="s">
        <v>311</v>
      </c>
      <c r="D5" s="300">
        <v>2019</v>
      </c>
      <c r="E5" s="111">
        <f>D5+1</f>
        <v>2020</v>
      </c>
      <c r="F5" s="113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1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</row>
    <row r="6" spans="1:14" ht="18" customHeight="1" thickBot="1">
      <c r="A6" s="217" t="s">
        <v>10</v>
      </c>
      <c r="B6" s="214"/>
      <c r="C6" s="223"/>
      <c r="D6" s="226"/>
      <c r="E6" s="215"/>
      <c r="F6" s="216"/>
      <c r="G6" s="226"/>
      <c r="H6" s="215"/>
      <c r="I6" s="216"/>
      <c r="J6" s="215"/>
      <c r="K6" s="215"/>
      <c r="L6" s="215"/>
      <c r="M6" s="216"/>
    </row>
    <row r="7" spans="1:14" ht="14.1" customHeight="1">
      <c r="A7" s="192" t="s">
        <v>11</v>
      </c>
      <c r="B7" s="138">
        <v>0.03</v>
      </c>
      <c r="C7" s="146"/>
      <c r="D7" s="149"/>
      <c r="E7" s="117"/>
      <c r="F7" s="121"/>
      <c r="G7" s="149"/>
      <c r="H7" s="117"/>
      <c r="I7" s="121"/>
      <c r="J7" s="117"/>
      <c r="K7" s="117"/>
      <c r="L7" s="117"/>
      <c r="M7" s="121"/>
    </row>
    <row r="8" spans="1:14" ht="14.1" customHeight="1">
      <c r="A8" s="192" t="s">
        <v>46</v>
      </c>
      <c r="B8" s="68"/>
      <c r="C8" s="428">
        <f>'Development Schedule'!D8/500</f>
        <v>0</v>
      </c>
      <c r="D8" s="204">
        <f>'Development Schedule'!D8/500</f>
        <v>0</v>
      </c>
      <c r="E8" s="204">
        <f>'Development Schedule'!E8/500</f>
        <v>443.4226666666666</v>
      </c>
      <c r="F8" s="206">
        <f>'Development Schedule'!F8/500</f>
        <v>221.7113333333333</v>
      </c>
      <c r="G8" s="429">
        <f>'Development Schedule'!H8/500</f>
        <v>0</v>
      </c>
      <c r="H8" s="427">
        <f>'Development Schedule'!I8/500</f>
        <v>0</v>
      </c>
      <c r="I8" s="430">
        <f>'Development Schedule'!J8/500</f>
        <v>0</v>
      </c>
      <c r="J8" s="427">
        <f>'Development Schedule'!K8/500</f>
        <v>0</v>
      </c>
      <c r="K8" s="427">
        <f>'Development Schedule'!L8/500</f>
        <v>0</v>
      </c>
      <c r="L8" s="427">
        <f>'Development Schedule'!M8/500</f>
        <v>0</v>
      </c>
      <c r="M8" s="430">
        <f>'Development Schedule'!N8/500</f>
        <v>0</v>
      </c>
    </row>
    <row r="9" spans="1:14" ht="14.1" customHeight="1">
      <c r="A9" s="192" t="s">
        <v>45</v>
      </c>
      <c r="B9" s="116"/>
      <c r="C9" s="414">
        <v>1</v>
      </c>
      <c r="D9" s="287">
        <f>C9</f>
        <v>1</v>
      </c>
      <c r="E9" s="138">
        <v>0.6</v>
      </c>
      <c r="F9" s="235">
        <v>0.33</v>
      </c>
      <c r="G9" s="287">
        <f>F9</f>
        <v>0.33</v>
      </c>
      <c r="H9" s="119">
        <f t="shared" ref="H9:M9" si="1">G9</f>
        <v>0.33</v>
      </c>
      <c r="I9" s="238">
        <f t="shared" si="1"/>
        <v>0.33</v>
      </c>
      <c r="J9" s="119">
        <f t="shared" si="1"/>
        <v>0.33</v>
      </c>
      <c r="K9" s="119">
        <f t="shared" si="1"/>
        <v>0.33</v>
      </c>
      <c r="L9" s="119">
        <f t="shared" si="1"/>
        <v>0.33</v>
      </c>
      <c r="M9" s="238">
        <f t="shared" si="1"/>
        <v>0.33</v>
      </c>
    </row>
    <row r="10" spans="1:14" ht="14.1" customHeight="1">
      <c r="A10" s="192" t="s">
        <v>41</v>
      </c>
      <c r="B10" s="116"/>
      <c r="C10" s="148">
        <f>1-C9</f>
        <v>0</v>
      </c>
      <c r="D10" s="287">
        <f t="shared" ref="D10:M10" si="2">1-D9</f>
        <v>0</v>
      </c>
      <c r="E10" s="119">
        <f t="shared" si="2"/>
        <v>0.4</v>
      </c>
      <c r="F10" s="238">
        <f t="shared" si="2"/>
        <v>0.66999999999999993</v>
      </c>
      <c r="G10" s="287">
        <f t="shared" si="2"/>
        <v>0.66999999999999993</v>
      </c>
      <c r="H10" s="119">
        <f t="shared" si="2"/>
        <v>0.66999999999999993</v>
      </c>
      <c r="I10" s="238">
        <f t="shared" si="2"/>
        <v>0.66999999999999993</v>
      </c>
      <c r="J10" s="119">
        <f t="shared" si="2"/>
        <v>0.66999999999999993</v>
      </c>
      <c r="K10" s="119">
        <f t="shared" si="2"/>
        <v>0.66999999999999993</v>
      </c>
      <c r="L10" s="119">
        <f t="shared" si="2"/>
        <v>0.66999999999999993</v>
      </c>
      <c r="M10" s="238">
        <f t="shared" si="2"/>
        <v>0.66999999999999993</v>
      </c>
    </row>
    <row r="11" spans="1:14" ht="14.1" customHeight="1" thickBot="1">
      <c r="A11" s="192" t="s">
        <v>47</v>
      </c>
      <c r="B11" s="68"/>
      <c r="C11" s="239">
        <f>'Summary Board'!K114</f>
        <v>116.699</v>
      </c>
      <c r="D11" s="231">
        <f>$C$11*(1+$B$7)^D4</f>
        <v>120.19997000000001</v>
      </c>
      <c r="E11" s="218">
        <f t="shared" ref="E11:M11" si="3">$C$11*(1+$B$7)^E4</f>
        <v>123.8059691</v>
      </c>
      <c r="F11" s="219">
        <f t="shared" si="3"/>
        <v>127.520148173</v>
      </c>
      <c r="G11" s="231">
        <f t="shared" si="3"/>
        <v>131.34575261818998</v>
      </c>
      <c r="H11" s="218">
        <f t="shared" si="3"/>
        <v>135.28612519673567</v>
      </c>
      <c r="I11" s="219">
        <f t="shared" si="3"/>
        <v>139.34470895263775</v>
      </c>
      <c r="J11" s="218">
        <f t="shared" si="3"/>
        <v>143.5250502212169</v>
      </c>
      <c r="K11" s="218">
        <f t="shared" si="3"/>
        <v>147.83080172785338</v>
      </c>
      <c r="L11" s="218">
        <f t="shared" si="3"/>
        <v>152.26572577968901</v>
      </c>
      <c r="M11" s="219">
        <f t="shared" si="3"/>
        <v>156.83369755307967</v>
      </c>
    </row>
    <row r="12" spans="1:14" ht="13.5" thickBot="1">
      <c r="A12" s="217" t="s">
        <v>0</v>
      </c>
      <c r="B12" s="214"/>
      <c r="C12" s="223"/>
      <c r="D12" s="264"/>
      <c r="E12" s="220"/>
      <c r="F12" s="221"/>
      <c r="G12" s="264"/>
      <c r="H12" s="220"/>
      <c r="I12" s="221"/>
      <c r="J12" s="220"/>
      <c r="K12" s="220"/>
      <c r="L12" s="220"/>
      <c r="M12" s="221"/>
    </row>
    <row r="13" spans="1:14" ht="14.1" customHeight="1">
      <c r="A13" s="192" t="s">
        <v>18</v>
      </c>
      <c r="B13" s="68"/>
      <c r="C13" s="283">
        <f>SUM($C$8:C8)*C10*C11*365</f>
        <v>0</v>
      </c>
      <c r="D13" s="266">
        <f>SUM($C$8:D8)*D10*D11*365</f>
        <v>0</v>
      </c>
      <c r="E13" s="267">
        <f>SUM($C$8:E8)*E10*E11*365</f>
        <v>8015162.4532656465</v>
      </c>
      <c r="F13" s="268">
        <f>SUM($C$8:F8)*F10*F11*365</f>
        <v>20742238.533744834</v>
      </c>
      <c r="G13" s="266">
        <f>SUM($C$8:G8)*G10*G11*365</f>
        <v>21364505.689757176</v>
      </c>
      <c r="H13" s="267">
        <f>SUM($C$8:H8)*H10*H11*365</f>
        <v>22005440.860449888</v>
      </c>
      <c r="I13" s="268">
        <f>SUM($C$8:I8)*I10*I11*365</f>
        <v>22665604.086263385</v>
      </c>
      <c r="J13" s="249">
        <f>SUM($C$8:J8)*J10*J11*365</f>
        <v>23345572.208851293</v>
      </c>
      <c r="K13" s="249">
        <f>SUM($C$8:K8)*K10*K11*365</f>
        <v>24045939.375116829</v>
      </c>
      <c r="L13" s="249">
        <f>SUM($C$8:L8)*L10*L11*365</f>
        <v>24767317.556370333</v>
      </c>
      <c r="M13" s="253">
        <f>SUM($C$8:M8)*M10*M11*365</f>
        <v>25510337.083061442</v>
      </c>
      <c r="N13" s="423"/>
    </row>
    <row r="14" spans="1:14" s="395" customFormat="1" ht="14.1" customHeight="1">
      <c r="A14" s="254" t="s">
        <v>117</v>
      </c>
      <c r="B14" s="251">
        <v>0.65</v>
      </c>
      <c r="C14" s="285">
        <f>C13*-$B$14</f>
        <v>0</v>
      </c>
      <c r="D14" s="286">
        <f t="shared" ref="D14:M14" si="4">D13*-$B$14</f>
        <v>0</v>
      </c>
      <c r="E14" s="252">
        <f t="shared" si="4"/>
        <v>-5209855.5946226707</v>
      </c>
      <c r="F14" s="255">
        <f t="shared" si="4"/>
        <v>-13482455.046934143</v>
      </c>
      <c r="G14" s="286">
        <f t="shared" si="4"/>
        <v>-13886928.698342165</v>
      </c>
      <c r="H14" s="252">
        <f t="shared" si="4"/>
        <v>-14303536.559292428</v>
      </c>
      <c r="I14" s="255">
        <f t="shared" si="4"/>
        <v>-14732642.656071201</v>
      </c>
      <c r="J14" s="252">
        <f t="shared" si="4"/>
        <v>-15174621.93575334</v>
      </c>
      <c r="K14" s="252">
        <f t="shared" si="4"/>
        <v>-15629860.59382594</v>
      </c>
      <c r="L14" s="252">
        <f t="shared" si="4"/>
        <v>-16098756.411640717</v>
      </c>
      <c r="M14" s="255">
        <f t="shared" si="4"/>
        <v>-16581719.103989938</v>
      </c>
    </row>
    <row r="15" spans="1:14" s="395" customFormat="1" ht="14.1" customHeight="1" thickBot="1">
      <c r="A15" s="422" t="s">
        <v>5</v>
      </c>
      <c r="B15" s="71"/>
      <c r="C15" s="281">
        <f>SUM(C13:C14)</f>
        <v>0</v>
      </c>
      <c r="D15" s="282">
        <f t="shared" ref="D15:M15" si="5">SUM(D13:D14)</f>
        <v>0</v>
      </c>
      <c r="E15" s="256">
        <f t="shared" si="5"/>
        <v>2805306.8586429758</v>
      </c>
      <c r="F15" s="257">
        <f t="shared" si="5"/>
        <v>7259783.4868106917</v>
      </c>
      <c r="G15" s="282">
        <f t="shared" si="5"/>
        <v>7477576.9914150108</v>
      </c>
      <c r="H15" s="256">
        <f t="shared" si="5"/>
        <v>7701904.3011574596</v>
      </c>
      <c r="I15" s="257">
        <f t="shared" si="5"/>
        <v>7932961.4301921837</v>
      </c>
      <c r="J15" s="256">
        <f t="shared" si="5"/>
        <v>8170950.2730979528</v>
      </c>
      <c r="K15" s="256">
        <f t="shared" si="5"/>
        <v>8416078.7812908888</v>
      </c>
      <c r="L15" s="256">
        <f t="shared" si="5"/>
        <v>8668561.1447296161</v>
      </c>
      <c r="M15" s="257">
        <f t="shared" si="5"/>
        <v>8928617.9790715035</v>
      </c>
    </row>
    <row r="16" spans="1:14" ht="13.5" thickBot="1">
      <c r="A16" s="217" t="s">
        <v>2</v>
      </c>
      <c r="B16" s="214"/>
      <c r="C16" s="223"/>
      <c r="D16" s="264"/>
      <c r="E16" s="220"/>
      <c r="F16" s="221"/>
      <c r="G16" s="264"/>
      <c r="H16" s="220"/>
      <c r="I16" s="221"/>
      <c r="J16" s="264"/>
      <c r="K16" s="220"/>
      <c r="L16" s="220"/>
      <c r="M16" s="221"/>
    </row>
    <row r="17" spans="1:14" ht="14.1" customHeight="1">
      <c r="A17" s="192" t="s">
        <v>118</v>
      </c>
      <c r="B17" s="68"/>
      <c r="C17" s="239">
        <f>'Summary Board'!F102</f>
        <v>258.74794800000001</v>
      </c>
      <c r="D17" s="231">
        <f>$C$17*(1+$B$7)^D4</f>
        <v>266.51038643999999</v>
      </c>
      <c r="E17" s="218">
        <f t="shared" ref="E17:M17" si="6">$C$17*(1+$B$7)^E4</f>
        <v>274.50569803320002</v>
      </c>
      <c r="F17" s="219">
        <f t="shared" si="6"/>
        <v>282.74086897419602</v>
      </c>
      <c r="G17" s="231">
        <f t="shared" si="6"/>
        <v>291.22309504342189</v>
      </c>
      <c r="H17" s="218">
        <f t="shared" si="6"/>
        <v>299.95978789472451</v>
      </c>
      <c r="I17" s="219">
        <f t="shared" si="6"/>
        <v>308.95858153156627</v>
      </c>
      <c r="J17" s="231">
        <f t="shared" si="6"/>
        <v>318.22733897751328</v>
      </c>
      <c r="K17" s="218">
        <f t="shared" si="6"/>
        <v>327.7741591468386</v>
      </c>
      <c r="L17" s="218">
        <f t="shared" si="6"/>
        <v>337.60738392124381</v>
      </c>
      <c r="M17" s="219">
        <f t="shared" si="6"/>
        <v>347.73560543888112</v>
      </c>
    </row>
    <row r="18" spans="1:14" ht="14.1" customHeight="1">
      <c r="A18" s="192" t="s">
        <v>13</v>
      </c>
      <c r="B18" s="68"/>
      <c r="C18" s="277">
        <f>C19/SUM($C$19:$M$19)</f>
        <v>0</v>
      </c>
      <c r="D18" s="278">
        <f t="shared" ref="D18:M18" si="7">D19/SUM($C$19:$M$19)</f>
        <v>0.66006600660066006</v>
      </c>
      <c r="E18" s="205">
        <f t="shared" si="7"/>
        <v>0.33993399339934</v>
      </c>
      <c r="F18" s="261">
        <f t="shared" si="7"/>
        <v>0</v>
      </c>
      <c r="G18" s="278">
        <f t="shared" si="7"/>
        <v>0</v>
      </c>
      <c r="H18" s="205">
        <f t="shared" si="7"/>
        <v>0</v>
      </c>
      <c r="I18" s="261">
        <f t="shared" si="7"/>
        <v>0</v>
      </c>
      <c r="J18" s="278">
        <f t="shared" si="7"/>
        <v>0</v>
      </c>
      <c r="K18" s="205">
        <f t="shared" si="7"/>
        <v>0</v>
      </c>
      <c r="L18" s="205">
        <f t="shared" si="7"/>
        <v>0</v>
      </c>
      <c r="M18" s="261">
        <f t="shared" si="7"/>
        <v>0</v>
      </c>
    </row>
    <row r="19" spans="1:14" ht="14.1" customHeight="1">
      <c r="A19" s="192" t="s">
        <v>2</v>
      </c>
      <c r="B19" s="68"/>
      <c r="C19" s="176">
        <f>'Development Schedule'!D76*C17</f>
        <v>0</v>
      </c>
      <c r="D19" s="331">
        <f>'Development Schedule'!E76*D17</f>
        <v>59088373.124794312</v>
      </c>
      <c r="E19" s="332">
        <f>'Development Schedule'!F76*E17</f>
        <v>30430512.159269076</v>
      </c>
      <c r="F19" s="333">
        <f>'Development Schedule'!G76*F17</f>
        <v>0</v>
      </c>
      <c r="G19" s="331">
        <f>'Development Schedule'!H76*G17</f>
        <v>0</v>
      </c>
      <c r="H19" s="332">
        <f>'Development Schedule'!I76*H17</f>
        <v>0</v>
      </c>
      <c r="I19" s="333">
        <f>'Development Schedule'!J76*I17</f>
        <v>0</v>
      </c>
      <c r="J19" s="331">
        <f>'Development Schedule'!K76*J17</f>
        <v>0</v>
      </c>
      <c r="K19" s="332">
        <f>'Development Schedule'!L76*K17</f>
        <v>0</v>
      </c>
      <c r="L19" s="332">
        <f>'Development Schedule'!M76*L17</f>
        <v>0</v>
      </c>
      <c r="M19" s="333">
        <f>'Development Schedule'!N76*M17</f>
        <v>0</v>
      </c>
    </row>
    <row r="20" spans="1:14" ht="14.1" customHeight="1">
      <c r="A20" s="254" t="s">
        <v>14</v>
      </c>
      <c r="B20" s="259"/>
      <c r="C20" s="184"/>
      <c r="D20" s="280"/>
      <c r="E20" s="260"/>
      <c r="F20" s="263"/>
      <c r="G20" s="280"/>
      <c r="H20" s="260"/>
      <c r="I20" s="263"/>
      <c r="J20" s="280"/>
      <c r="K20" s="260"/>
      <c r="L20" s="260"/>
      <c r="M20" s="263"/>
    </row>
    <row r="21" spans="1:14" ht="13.5" thickBot="1">
      <c r="A21" s="422" t="s">
        <v>3</v>
      </c>
      <c r="B21" s="71"/>
      <c r="C21" s="282">
        <f>SUM(C19:C20)</f>
        <v>0</v>
      </c>
      <c r="D21" s="282">
        <f t="shared" ref="D21:M21" si="8">SUM(D19:D20)</f>
        <v>59088373.124794312</v>
      </c>
      <c r="E21" s="256">
        <f t="shared" si="8"/>
        <v>30430512.159269076</v>
      </c>
      <c r="F21" s="257">
        <f t="shared" si="8"/>
        <v>0</v>
      </c>
      <c r="G21" s="282">
        <f t="shared" si="8"/>
        <v>0</v>
      </c>
      <c r="H21" s="256">
        <f t="shared" si="8"/>
        <v>0</v>
      </c>
      <c r="I21" s="257">
        <f t="shared" si="8"/>
        <v>0</v>
      </c>
      <c r="J21" s="282">
        <f t="shared" si="8"/>
        <v>0</v>
      </c>
      <c r="K21" s="256">
        <f t="shared" si="8"/>
        <v>0</v>
      </c>
      <c r="L21" s="256">
        <f t="shared" si="8"/>
        <v>0</v>
      </c>
      <c r="M21" s="257">
        <f t="shared" si="8"/>
        <v>0</v>
      </c>
    </row>
    <row r="22" spans="1:14" ht="13.5" thickBot="1">
      <c r="A22" s="217" t="s">
        <v>4</v>
      </c>
      <c r="B22" s="214"/>
      <c r="C22" s="223"/>
      <c r="D22" s="264"/>
      <c r="E22" s="220"/>
      <c r="F22" s="221"/>
      <c r="G22" s="264"/>
      <c r="H22" s="220"/>
      <c r="I22" s="221"/>
      <c r="J22" s="264"/>
      <c r="K22" s="220"/>
      <c r="L22" s="220"/>
      <c r="M22" s="221"/>
    </row>
    <row r="23" spans="1:14" ht="14.1" customHeight="1">
      <c r="A23" s="192" t="s">
        <v>5</v>
      </c>
      <c r="B23" s="68"/>
      <c r="C23" s="154">
        <f>C15</f>
        <v>0</v>
      </c>
      <c r="D23" s="279">
        <f t="shared" ref="D23:M23" si="9">D15</f>
        <v>0</v>
      </c>
      <c r="E23" s="248">
        <f t="shared" si="9"/>
        <v>2805306.8586429758</v>
      </c>
      <c r="F23" s="262">
        <f t="shared" si="9"/>
        <v>7259783.4868106917</v>
      </c>
      <c r="G23" s="279">
        <f t="shared" si="9"/>
        <v>7477576.9914150108</v>
      </c>
      <c r="H23" s="248">
        <f t="shared" si="9"/>
        <v>7701904.3011574596</v>
      </c>
      <c r="I23" s="262">
        <f t="shared" si="9"/>
        <v>7932961.4301921837</v>
      </c>
      <c r="J23" s="279">
        <f t="shared" si="9"/>
        <v>8170950.2730979528</v>
      </c>
      <c r="K23" s="248">
        <f t="shared" si="9"/>
        <v>8416078.7812908888</v>
      </c>
      <c r="L23" s="248">
        <f t="shared" si="9"/>
        <v>8668561.1447296161</v>
      </c>
      <c r="M23" s="262">
        <f t="shared" si="9"/>
        <v>8928617.9790715035</v>
      </c>
      <c r="N23" s="426"/>
    </row>
    <row r="24" spans="1:14" ht="14.1" customHeight="1">
      <c r="A24" s="192" t="s">
        <v>60</v>
      </c>
      <c r="B24" s="119">
        <f>D36</f>
        <v>0.08</v>
      </c>
      <c r="C24" s="159">
        <v>0</v>
      </c>
      <c r="D24" s="269">
        <f>C24</f>
        <v>0</v>
      </c>
      <c r="E24" s="258">
        <f t="shared" ref="E24:L25" si="10">D24</f>
        <v>0</v>
      </c>
      <c r="F24" s="270">
        <f t="shared" si="10"/>
        <v>0</v>
      </c>
      <c r="G24" s="269">
        <f t="shared" si="10"/>
        <v>0</v>
      </c>
      <c r="H24" s="258">
        <f t="shared" si="10"/>
        <v>0</v>
      </c>
      <c r="I24" s="270">
        <f t="shared" si="10"/>
        <v>0</v>
      </c>
      <c r="J24" s="269">
        <f t="shared" si="10"/>
        <v>0</v>
      </c>
      <c r="K24" s="258">
        <f t="shared" si="10"/>
        <v>0</v>
      </c>
      <c r="L24" s="258">
        <f t="shared" si="10"/>
        <v>0</v>
      </c>
      <c r="M24" s="270">
        <f>M23/B24</f>
        <v>111607724.7383938</v>
      </c>
      <c r="N24" s="426"/>
    </row>
    <row r="25" spans="1:14" ht="14.1" customHeight="1">
      <c r="A25" s="192" t="s">
        <v>61</v>
      </c>
      <c r="B25" s="119">
        <f>D37</f>
        <v>0.03</v>
      </c>
      <c r="C25" s="159">
        <v>0</v>
      </c>
      <c r="D25" s="269">
        <f>C25</f>
        <v>0</v>
      </c>
      <c r="E25" s="258">
        <f t="shared" si="10"/>
        <v>0</v>
      </c>
      <c r="F25" s="270">
        <f t="shared" si="10"/>
        <v>0</v>
      </c>
      <c r="G25" s="269">
        <f t="shared" si="10"/>
        <v>0</v>
      </c>
      <c r="H25" s="258">
        <f t="shared" si="10"/>
        <v>0</v>
      </c>
      <c r="I25" s="270">
        <f t="shared" si="10"/>
        <v>0</v>
      </c>
      <c r="J25" s="269">
        <f t="shared" si="10"/>
        <v>0</v>
      </c>
      <c r="K25" s="258">
        <f t="shared" si="10"/>
        <v>0</v>
      </c>
      <c r="L25" s="258">
        <f t="shared" si="10"/>
        <v>0</v>
      </c>
      <c r="M25" s="270">
        <f>M24*-B25</f>
        <v>-3348231.742151814</v>
      </c>
      <c r="N25" s="426"/>
    </row>
    <row r="26" spans="1:14" ht="14.1" customHeight="1">
      <c r="A26" s="254" t="s">
        <v>119</v>
      </c>
      <c r="B26" s="327"/>
      <c r="C26" s="285">
        <f>-C21</f>
        <v>0</v>
      </c>
      <c r="D26" s="286">
        <f t="shared" ref="D26:M26" si="11">-D21</f>
        <v>-59088373.124794312</v>
      </c>
      <c r="E26" s="252">
        <f t="shared" si="11"/>
        <v>-30430512.159269076</v>
      </c>
      <c r="F26" s="255">
        <f t="shared" si="11"/>
        <v>0</v>
      </c>
      <c r="G26" s="286">
        <f t="shared" si="11"/>
        <v>0</v>
      </c>
      <c r="H26" s="252">
        <f t="shared" si="11"/>
        <v>0</v>
      </c>
      <c r="I26" s="255">
        <f t="shared" si="11"/>
        <v>0</v>
      </c>
      <c r="J26" s="286">
        <f t="shared" si="11"/>
        <v>0</v>
      </c>
      <c r="K26" s="252">
        <f t="shared" si="11"/>
        <v>0</v>
      </c>
      <c r="L26" s="252">
        <f t="shared" si="11"/>
        <v>0</v>
      </c>
      <c r="M26" s="255">
        <f t="shared" si="11"/>
        <v>0</v>
      </c>
      <c r="N26" s="426"/>
    </row>
    <row r="27" spans="1:14" ht="13.5" thickBot="1">
      <c r="A27" s="422" t="s">
        <v>6</v>
      </c>
      <c r="B27" s="128"/>
      <c r="C27" s="281">
        <f>SUM(C23:C26)</f>
        <v>0</v>
      </c>
      <c r="D27" s="282">
        <f t="shared" ref="D27:M27" si="12">SUM(D23:D26)</f>
        <v>-59088373.124794312</v>
      </c>
      <c r="E27" s="256">
        <f t="shared" si="12"/>
        <v>-27625205.300626099</v>
      </c>
      <c r="F27" s="257">
        <f t="shared" si="12"/>
        <v>7259783.4868106917</v>
      </c>
      <c r="G27" s="282">
        <f t="shared" si="12"/>
        <v>7477576.9914150108</v>
      </c>
      <c r="H27" s="256">
        <f t="shared" si="12"/>
        <v>7701904.3011574596</v>
      </c>
      <c r="I27" s="257">
        <f t="shared" si="12"/>
        <v>7932961.4301921837</v>
      </c>
      <c r="J27" s="282">
        <f t="shared" si="12"/>
        <v>8170950.2730979528</v>
      </c>
      <c r="K27" s="256">
        <f t="shared" si="12"/>
        <v>8416078.7812908888</v>
      </c>
      <c r="L27" s="256">
        <f t="shared" si="12"/>
        <v>8668561.1447296161</v>
      </c>
      <c r="M27" s="257">
        <f t="shared" si="12"/>
        <v>117188110.97531348</v>
      </c>
      <c r="N27" s="426"/>
    </row>
    <row r="28" spans="1:14" ht="13.5" thickBot="1">
      <c r="A28" s="125" t="s">
        <v>27</v>
      </c>
      <c r="B28" s="116"/>
      <c r="C28" s="409">
        <f>C27+NPV(D38,D27:M27)</f>
        <v>5364271.3766985387</v>
      </c>
      <c r="D28" s="406"/>
      <c r="E28" s="407"/>
      <c r="F28" s="408"/>
      <c r="G28" s="406"/>
      <c r="H28" s="407"/>
      <c r="I28" s="408"/>
      <c r="J28" s="118"/>
      <c r="K28" s="118"/>
      <c r="L28" s="118"/>
      <c r="M28" s="207"/>
      <c r="N28" s="426"/>
    </row>
    <row r="29" spans="1:14" ht="13.5" thickBot="1">
      <c r="A29" s="91" t="s">
        <v>62</v>
      </c>
      <c r="B29" s="169"/>
      <c r="C29" s="292">
        <f>IRR(C27:M27,0)</f>
        <v>0.10051857799053154</v>
      </c>
      <c r="D29" s="273"/>
      <c r="E29" s="169"/>
      <c r="F29" s="191"/>
      <c r="G29" s="273"/>
      <c r="H29" s="169"/>
      <c r="I29" s="191"/>
      <c r="J29" s="169"/>
      <c r="K29" s="169"/>
      <c r="L29" s="169"/>
      <c r="M29" s="191"/>
    </row>
    <row r="30" spans="1:14" ht="13.5" thickBot="1">
      <c r="A30" s="91"/>
      <c r="B30" s="169"/>
      <c r="C30" s="431"/>
      <c r="D30" s="169"/>
      <c r="E30" s="68"/>
      <c r="F30" s="68"/>
      <c r="G30" s="68"/>
      <c r="H30" s="68"/>
      <c r="I30" s="68"/>
      <c r="J30" s="68"/>
      <c r="K30" s="68"/>
      <c r="L30" s="68"/>
      <c r="M30" s="68"/>
    </row>
    <row r="31" spans="1:14" ht="13.5" thickBot="1">
      <c r="A31" s="202" t="s">
        <v>110</v>
      </c>
      <c r="B31" s="175"/>
      <c r="C31" s="175"/>
      <c r="D31" s="201"/>
      <c r="E31" s="39"/>
      <c r="F31" s="39"/>
      <c r="G31" s="39"/>
      <c r="H31" s="39"/>
      <c r="I31" s="39"/>
      <c r="J31" s="39"/>
      <c r="K31" s="39"/>
      <c r="L31" s="39"/>
      <c r="M31" s="39"/>
    </row>
    <row r="32" spans="1:14" ht="13.5" thickBot="1">
      <c r="A32" s="89"/>
      <c r="B32" s="169"/>
      <c r="C32" s="94" t="s">
        <v>108</v>
      </c>
      <c r="D32" s="95" t="s">
        <v>109</v>
      </c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3.5" thickBot="1">
      <c r="A33" s="875" t="s">
        <v>49</v>
      </c>
      <c r="B33" s="71"/>
      <c r="C33" s="71">
        <f>ROUND(D33/500,0)</f>
        <v>665</v>
      </c>
      <c r="D33" s="247">
        <f>'Development Schedule'!C8</f>
        <v>332567</v>
      </c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3.5" thickBot="1">
      <c r="A34" s="39"/>
      <c r="B34" s="61"/>
      <c r="C34" s="61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3.5" thickBot="1">
      <c r="A35" s="202" t="s">
        <v>120</v>
      </c>
      <c r="B35" s="275"/>
      <c r="C35" s="275"/>
      <c r="D35" s="276"/>
      <c r="E35" s="39"/>
      <c r="F35" s="39"/>
      <c r="G35" s="39"/>
      <c r="H35" s="39"/>
      <c r="I35" s="39"/>
      <c r="J35" s="39"/>
      <c r="K35" s="39"/>
      <c r="L35" s="39"/>
      <c r="M35" s="39"/>
    </row>
    <row r="36" spans="1:13">
      <c r="A36" s="67" t="s">
        <v>121</v>
      </c>
      <c r="B36" s="68"/>
      <c r="C36" s="68"/>
      <c r="D36" s="235">
        <f>'Summary Board'!K124</f>
        <v>0.08</v>
      </c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67" t="s">
        <v>122</v>
      </c>
      <c r="B37" s="68"/>
      <c r="C37" s="68"/>
      <c r="D37" s="235">
        <v>0.03</v>
      </c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13.5" thickBot="1">
      <c r="A38" s="70" t="s">
        <v>106</v>
      </c>
      <c r="B38" s="71"/>
      <c r="C38" s="71"/>
      <c r="D38" s="233">
        <v>0.09</v>
      </c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39"/>
      <c r="B39" s="61"/>
      <c r="C39" s="61"/>
      <c r="D39" s="39"/>
      <c r="E39" s="39"/>
      <c r="F39" s="39"/>
      <c r="G39" s="39"/>
      <c r="H39" s="39"/>
      <c r="I39" s="39"/>
      <c r="J39" s="39"/>
      <c r="K39" s="39"/>
      <c r="L39" s="39"/>
      <c r="M39" s="39"/>
    </row>
  </sheetData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&amp;L&amp;"Arial,Bold"7. Income Statement: Hotel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view="pageBreakPreview" zoomScale="85" zoomScaleNormal="100" zoomScaleSheetLayoutView="85" workbookViewId="0">
      <selection activeCell="C93" sqref="C93:M93"/>
    </sheetView>
  </sheetViews>
  <sheetFormatPr defaultColWidth="9.140625" defaultRowHeight="12.75" outlineLevelRow="1"/>
  <cols>
    <col min="1" max="1" width="23.140625" style="1" customWidth="1"/>
    <col min="2" max="2" width="12.7109375" style="2" customWidth="1"/>
    <col min="3" max="3" width="13.7109375" style="2" customWidth="1"/>
    <col min="4" max="4" width="13.7109375" style="1" customWidth="1"/>
    <col min="5" max="5" width="16.5703125" style="1" bestFit="1" customWidth="1"/>
    <col min="6" max="7" width="15.5703125" style="1" bestFit="1" customWidth="1"/>
    <col min="8" max="13" width="13.7109375" style="1" customWidth="1"/>
    <col min="14" max="16384" width="9.140625" style="1"/>
  </cols>
  <sheetData>
    <row r="1" spans="1:15" ht="14.1" customHeight="1" thickBot="1">
      <c r="A1" s="936"/>
      <c r="B1" s="872"/>
      <c r="C1" s="872"/>
      <c r="D1" s="936"/>
      <c r="E1" s="936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5" ht="14.1" customHeight="1" thickBot="1">
      <c r="A2" s="936"/>
      <c r="B2" s="872"/>
      <c r="C2" s="872"/>
      <c r="D2" s="936"/>
      <c r="E2" s="936"/>
      <c r="F2" s="39"/>
      <c r="G2" s="39"/>
      <c r="H2" s="39"/>
      <c r="I2" s="39"/>
      <c r="J2" s="39"/>
      <c r="K2" s="39"/>
      <c r="L2" s="392"/>
      <c r="M2" s="393"/>
    </row>
    <row r="3" spans="1:15" ht="14.1" customHeight="1" thickBot="1">
      <c r="A3" s="67"/>
      <c r="B3" s="68"/>
      <c r="C3" s="584" t="s">
        <v>58</v>
      </c>
      <c r="D3" s="934" t="s">
        <v>37</v>
      </c>
      <c r="E3" s="935"/>
      <c r="F3" s="46"/>
      <c r="G3" s="114" t="s">
        <v>80</v>
      </c>
      <c r="H3" s="160"/>
      <c r="I3" s="46"/>
      <c r="J3" s="114" t="s">
        <v>81</v>
      </c>
      <c r="K3" s="44"/>
      <c r="L3" s="45"/>
      <c r="M3" s="46"/>
      <c r="N3" s="3"/>
      <c r="O3" s="3"/>
    </row>
    <row r="4" spans="1:15" ht="14.1" customHeight="1" thickBot="1">
      <c r="A4" s="67"/>
      <c r="B4" s="68"/>
      <c r="C4" s="153">
        <v>0</v>
      </c>
      <c r="D4" s="49">
        <f>C4+1</f>
        <v>1</v>
      </c>
      <c r="E4" s="48">
        <f t="shared" ref="E4:M5" si="0">D4+1</f>
        <v>2</v>
      </c>
      <c r="F4" s="50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2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  <c r="N4" s="3"/>
      <c r="O4" s="3"/>
    </row>
    <row r="5" spans="1:15" ht="14.1" customHeight="1" thickBot="1">
      <c r="A5" s="70"/>
      <c r="B5" s="152"/>
      <c r="C5" s="153" t="s">
        <v>311</v>
      </c>
      <c r="D5" s="300">
        <v>2019</v>
      </c>
      <c r="E5" s="111">
        <f>D5+1</f>
        <v>2020</v>
      </c>
      <c r="F5" s="113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2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  <c r="N5" s="3"/>
      <c r="O5" s="3"/>
    </row>
    <row r="6" spans="1:15" ht="13.5" thickBot="1">
      <c r="A6" s="217" t="s">
        <v>10</v>
      </c>
      <c r="B6" s="214"/>
      <c r="C6" s="223"/>
      <c r="D6" s="226"/>
      <c r="E6" s="215"/>
      <c r="F6" s="215"/>
      <c r="G6" s="226"/>
      <c r="H6" s="215"/>
      <c r="I6" s="216"/>
      <c r="J6" s="226"/>
      <c r="K6" s="215"/>
      <c r="L6" s="215"/>
      <c r="M6" s="216"/>
    </row>
    <row r="7" spans="1:15" s="296" customFormat="1">
      <c r="A7" s="66" t="s">
        <v>383</v>
      </c>
      <c r="B7" s="68"/>
      <c r="C7" s="228"/>
      <c r="D7" s="139"/>
      <c r="E7" s="346"/>
      <c r="F7" s="346"/>
      <c r="G7" s="67"/>
      <c r="H7" s="77"/>
      <c r="I7" s="122"/>
      <c r="J7" s="67"/>
      <c r="K7" s="77"/>
      <c r="L7" s="77"/>
      <c r="M7" s="122"/>
    </row>
    <row r="8" spans="1:15">
      <c r="A8" s="67" t="s">
        <v>11</v>
      </c>
      <c r="B8" s="138">
        <v>0.03</v>
      </c>
      <c r="C8" s="313"/>
      <c r="D8" s="67"/>
      <c r="E8" s="77"/>
      <c r="F8" s="77"/>
      <c r="G8" s="67"/>
      <c r="H8" s="77"/>
      <c r="I8" s="122"/>
      <c r="J8" s="67"/>
      <c r="K8" s="77"/>
      <c r="L8" s="77"/>
      <c r="M8" s="122"/>
    </row>
    <row r="9" spans="1:15">
      <c r="A9" s="67" t="s">
        <v>28</v>
      </c>
      <c r="B9" s="68"/>
      <c r="C9" s="350">
        <v>0</v>
      </c>
      <c r="D9" s="230">
        <f>C9</f>
        <v>0</v>
      </c>
      <c r="E9" s="203">
        <f>C106</f>
        <v>962.3671875</v>
      </c>
      <c r="F9" s="203">
        <f>E9</f>
        <v>962.3671875</v>
      </c>
      <c r="G9" s="230">
        <f t="shared" ref="G9:M9" si="1">F9</f>
        <v>962.3671875</v>
      </c>
      <c r="H9" s="203">
        <f t="shared" si="1"/>
        <v>962.3671875</v>
      </c>
      <c r="I9" s="208">
        <f t="shared" si="1"/>
        <v>962.3671875</v>
      </c>
      <c r="J9" s="230">
        <f t="shared" si="1"/>
        <v>962.3671875</v>
      </c>
      <c r="K9" s="203">
        <f t="shared" si="1"/>
        <v>962.3671875</v>
      </c>
      <c r="L9" s="203">
        <f t="shared" si="1"/>
        <v>962.3671875</v>
      </c>
      <c r="M9" s="208">
        <f t="shared" si="1"/>
        <v>962.3671875</v>
      </c>
    </row>
    <row r="10" spans="1:15">
      <c r="A10" s="67" t="s">
        <v>84</v>
      </c>
      <c r="B10" s="68"/>
      <c r="C10" s="350">
        <v>0</v>
      </c>
      <c r="D10" s="230">
        <f>C10</f>
        <v>0</v>
      </c>
      <c r="E10" s="203">
        <f>D106</f>
        <v>307957.5</v>
      </c>
      <c r="F10" s="203">
        <f>E10</f>
        <v>307957.5</v>
      </c>
      <c r="G10" s="230">
        <f t="shared" ref="G10:M10" si="2">F10</f>
        <v>307957.5</v>
      </c>
      <c r="H10" s="203">
        <f t="shared" si="2"/>
        <v>307957.5</v>
      </c>
      <c r="I10" s="208">
        <f t="shared" si="2"/>
        <v>307957.5</v>
      </c>
      <c r="J10" s="230">
        <f t="shared" si="2"/>
        <v>307957.5</v>
      </c>
      <c r="K10" s="203">
        <f t="shared" si="2"/>
        <v>307957.5</v>
      </c>
      <c r="L10" s="203">
        <f t="shared" si="2"/>
        <v>307957.5</v>
      </c>
      <c r="M10" s="208">
        <f t="shared" si="2"/>
        <v>307957.5</v>
      </c>
    </row>
    <row r="11" spans="1:15">
      <c r="A11" s="192" t="s">
        <v>19</v>
      </c>
      <c r="B11" s="68"/>
      <c r="C11" s="937">
        <f>'Summary Board'!K119</f>
        <v>215</v>
      </c>
      <c r="D11" s="480">
        <f>$C$11*(1+$B8)^D$4</f>
        <v>221.45000000000002</v>
      </c>
      <c r="E11" s="379">
        <f t="shared" ref="E11:M11" si="3">$C$11*(1+$B8)^E$4</f>
        <v>228.09349999999998</v>
      </c>
      <c r="F11" s="379">
        <f t="shared" si="3"/>
        <v>234.936305</v>
      </c>
      <c r="G11" s="480">
        <f t="shared" si="3"/>
        <v>241.98439414999999</v>
      </c>
      <c r="H11" s="379">
        <f t="shared" si="3"/>
        <v>249.24392597449997</v>
      </c>
      <c r="I11" s="451">
        <f t="shared" si="3"/>
        <v>256.721243753735</v>
      </c>
      <c r="J11" s="480">
        <f t="shared" si="3"/>
        <v>264.42288106634703</v>
      </c>
      <c r="K11" s="379">
        <f t="shared" si="3"/>
        <v>272.35556749833745</v>
      </c>
      <c r="L11" s="379">
        <f t="shared" si="3"/>
        <v>280.52623452328754</v>
      </c>
      <c r="M11" s="451">
        <f t="shared" si="3"/>
        <v>288.9420215589862</v>
      </c>
    </row>
    <row r="12" spans="1:15">
      <c r="A12" s="192" t="s">
        <v>20</v>
      </c>
      <c r="B12" s="68"/>
      <c r="C12" s="938">
        <v>0.6</v>
      </c>
      <c r="D12" s="287"/>
      <c r="E12" s="119"/>
      <c r="F12" s="119"/>
      <c r="G12" s="287"/>
      <c r="H12" s="119"/>
      <c r="I12" s="238"/>
      <c r="J12" s="287"/>
      <c r="K12" s="119"/>
      <c r="L12" s="119"/>
      <c r="M12" s="238"/>
    </row>
    <row r="13" spans="1:15">
      <c r="A13" s="192" t="s">
        <v>21</v>
      </c>
      <c r="B13" s="68"/>
      <c r="C13" s="938">
        <v>0.6</v>
      </c>
      <c r="D13" s="287"/>
      <c r="E13" s="119"/>
      <c r="F13" s="119"/>
      <c r="G13" s="287"/>
      <c r="H13" s="119"/>
      <c r="I13" s="238"/>
      <c r="J13" s="287"/>
      <c r="K13" s="119"/>
      <c r="L13" s="119"/>
      <c r="M13" s="238"/>
    </row>
    <row r="14" spans="1:15">
      <c r="A14" s="192" t="s">
        <v>22</v>
      </c>
      <c r="B14" s="68"/>
      <c r="C14" s="939">
        <f>52*2</f>
        <v>104</v>
      </c>
      <c r="D14" s="228"/>
      <c r="E14" s="68"/>
      <c r="F14" s="68"/>
      <c r="G14" s="228"/>
      <c r="H14" s="68"/>
      <c r="I14" s="200"/>
      <c r="J14" s="228"/>
      <c r="K14" s="68"/>
      <c r="L14" s="68"/>
      <c r="M14" s="200"/>
    </row>
    <row r="15" spans="1:15">
      <c r="A15" s="192" t="s">
        <v>23</v>
      </c>
      <c r="B15" s="68"/>
      <c r="C15" s="939">
        <v>24</v>
      </c>
      <c r="D15" s="228"/>
      <c r="E15" s="68"/>
      <c r="F15" s="68"/>
      <c r="G15" s="228"/>
      <c r="H15" s="68"/>
      <c r="I15" s="200"/>
      <c r="J15" s="228"/>
      <c r="K15" s="68"/>
      <c r="L15" s="68"/>
      <c r="M15" s="200"/>
    </row>
    <row r="16" spans="1:15">
      <c r="A16" s="192" t="s">
        <v>24</v>
      </c>
      <c r="B16" s="68"/>
      <c r="C16" s="938">
        <v>0.3</v>
      </c>
      <c r="D16" s="287"/>
      <c r="E16" s="119"/>
      <c r="F16" s="119"/>
      <c r="G16" s="287"/>
      <c r="H16" s="119"/>
      <c r="I16" s="238"/>
      <c r="J16" s="287"/>
      <c r="K16" s="119"/>
      <c r="L16" s="119"/>
      <c r="M16" s="238"/>
    </row>
    <row r="17" spans="1:13">
      <c r="A17" s="192" t="s">
        <v>25</v>
      </c>
      <c r="B17" s="68"/>
      <c r="C17" s="940">
        <f>365-C14</f>
        <v>261</v>
      </c>
      <c r="D17" s="228"/>
      <c r="E17" s="68"/>
      <c r="F17" s="68"/>
      <c r="G17" s="228"/>
      <c r="H17" s="68"/>
      <c r="I17" s="200"/>
      <c r="J17" s="228"/>
      <c r="K17" s="68"/>
      <c r="L17" s="68"/>
      <c r="M17" s="200"/>
    </row>
    <row r="18" spans="1:13">
      <c r="A18" s="192" t="s">
        <v>23</v>
      </c>
      <c r="B18" s="68"/>
      <c r="C18" s="939">
        <v>24</v>
      </c>
      <c r="D18" s="228"/>
      <c r="E18" s="68"/>
      <c r="F18" s="68"/>
      <c r="G18" s="228"/>
      <c r="H18" s="68"/>
      <c r="I18" s="200"/>
      <c r="J18" s="228"/>
      <c r="K18" s="68"/>
      <c r="L18" s="68"/>
      <c r="M18" s="200"/>
    </row>
    <row r="19" spans="1:13">
      <c r="A19" s="192" t="s">
        <v>24</v>
      </c>
      <c r="B19" s="68"/>
      <c r="C19" s="938">
        <v>0.3</v>
      </c>
      <c r="D19" s="287"/>
      <c r="E19" s="119"/>
      <c r="F19" s="119"/>
      <c r="G19" s="287"/>
      <c r="H19" s="119"/>
      <c r="I19" s="238"/>
      <c r="J19" s="287"/>
      <c r="K19" s="119"/>
      <c r="L19" s="119"/>
      <c r="M19" s="238"/>
    </row>
    <row r="20" spans="1:13" s="477" customFormat="1">
      <c r="A20" s="192" t="s">
        <v>26</v>
      </c>
      <c r="B20" s="68"/>
      <c r="C20" s="937">
        <f>'Summary Board'!K120</f>
        <v>4</v>
      </c>
      <c r="D20" s="480">
        <f t="shared" ref="D20:M20" si="4">$C$20*(1+$B8)^D$4</f>
        <v>4.12</v>
      </c>
      <c r="E20" s="379">
        <f t="shared" si="4"/>
        <v>4.2435999999999998</v>
      </c>
      <c r="F20" s="379">
        <f t="shared" si="4"/>
        <v>4.370908</v>
      </c>
      <c r="G20" s="480">
        <f t="shared" si="4"/>
        <v>4.5020352399999997</v>
      </c>
      <c r="H20" s="379">
        <f t="shared" si="4"/>
        <v>4.6370962971999994</v>
      </c>
      <c r="I20" s="451">
        <f t="shared" si="4"/>
        <v>4.7762091861159996</v>
      </c>
      <c r="J20" s="480">
        <f t="shared" si="4"/>
        <v>4.9194954616994799</v>
      </c>
      <c r="K20" s="379">
        <f t="shared" si="4"/>
        <v>5.0670803255504637</v>
      </c>
      <c r="L20" s="379">
        <f t="shared" si="4"/>
        <v>5.2190927353169778</v>
      </c>
      <c r="M20" s="451">
        <f t="shared" si="4"/>
        <v>5.3756655173764871</v>
      </c>
    </row>
    <row r="21" spans="1:13" ht="13.5" thickBot="1">
      <c r="A21" s="150" t="s">
        <v>187</v>
      </c>
      <c r="B21" s="71"/>
      <c r="C21" s="890">
        <v>0.5</v>
      </c>
      <c r="D21" s="482">
        <f t="shared" ref="D21:M21" si="5">$C$21*(1+$B8)^D$4</f>
        <v>0.51500000000000001</v>
      </c>
      <c r="E21" s="481">
        <f t="shared" si="5"/>
        <v>0.53044999999999998</v>
      </c>
      <c r="F21" s="481">
        <f t="shared" si="5"/>
        <v>0.5463635</v>
      </c>
      <c r="G21" s="482">
        <f t="shared" si="5"/>
        <v>0.56275440499999996</v>
      </c>
      <c r="H21" s="481">
        <f t="shared" si="5"/>
        <v>0.57963703714999992</v>
      </c>
      <c r="I21" s="452">
        <f t="shared" si="5"/>
        <v>0.59702614826449996</v>
      </c>
      <c r="J21" s="482">
        <f t="shared" si="5"/>
        <v>0.61493693271243499</v>
      </c>
      <c r="K21" s="481">
        <f t="shared" si="5"/>
        <v>0.63338504069380797</v>
      </c>
      <c r="L21" s="481">
        <f t="shared" si="5"/>
        <v>0.65238659191462223</v>
      </c>
      <c r="M21" s="452">
        <f t="shared" si="5"/>
        <v>0.67195818967206089</v>
      </c>
    </row>
    <row r="22" spans="1:13" outlineLevel="1">
      <c r="A22" s="352" t="s">
        <v>188</v>
      </c>
      <c r="B22" s="222"/>
      <c r="C22" s="265">
        <f>C9*C11*$C13*12</f>
        <v>0</v>
      </c>
      <c r="D22" s="473">
        <f t="shared" ref="D22:M22" si="6">D9*D11*$C13*12</f>
        <v>0</v>
      </c>
      <c r="E22" s="484">
        <f t="shared" si="6"/>
        <v>1580469.8405906246</v>
      </c>
      <c r="F22" s="484">
        <f t="shared" si="6"/>
        <v>1627883.9358083436</v>
      </c>
      <c r="G22" s="473">
        <f t="shared" si="6"/>
        <v>1676720.4538825939</v>
      </c>
      <c r="H22" s="484">
        <f t="shared" si="6"/>
        <v>1727022.0674990716</v>
      </c>
      <c r="I22" s="485">
        <f t="shared" si="6"/>
        <v>1778832.7295240439</v>
      </c>
      <c r="J22" s="473">
        <f t="shared" si="6"/>
        <v>1832197.7114097651</v>
      </c>
      <c r="K22" s="484">
        <f t="shared" si="6"/>
        <v>1887163.6427520581</v>
      </c>
      <c r="L22" s="484">
        <f t="shared" si="6"/>
        <v>1943778.5520346197</v>
      </c>
      <c r="M22" s="485">
        <f t="shared" si="6"/>
        <v>2002091.9085956584</v>
      </c>
    </row>
    <row r="23" spans="1:13" outlineLevel="1">
      <c r="A23" s="192" t="s">
        <v>189</v>
      </c>
      <c r="B23" s="68"/>
      <c r="C23" s="155">
        <f>(C9*$C14*$C15*$C16*C20)+(C9*$C17*$C18*$C19*C20)</f>
        <v>0</v>
      </c>
      <c r="D23" s="271">
        <f t="shared" ref="D23:M23" si="7">(D9*$C$14*$C$15*$C$16*D20)+(D9*$C$17*$C$18*$C$19*D20)</f>
        <v>0</v>
      </c>
      <c r="E23" s="250">
        <f t="shared" si="7"/>
        <v>10732492.870987499</v>
      </c>
      <c r="F23" s="250">
        <f t="shared" si="7"/>
        <v>11054467.657117125</v>
      </c>
      <c r="G23" s="271">
        <f t="shared" si="7"/>
        <v>11386101.686830636</v>
      </c>
      <c r="H23" s="250">
        <f t="shared" si="7"/>
        <v>11727684.737435555</v>
      </c>
      <c r="I23" s="272">
        <f t="shared" si="7"/>
        <v>12079515.279558623</v>
      </c>
      <c r="J23" s="271">
        <f t="shared" si="7"/>
        <v>12441900.737945382</v>
      </c>
      <c r="K23" s="250">
        <f t="shared" si="7"/>
        <v>12815157.760083742</v>
      </c>
      <c r="L23" s="250">
        <f t="shared" si="7"/>
        <v>13199612.492886255</v>
      </c>
      <c r="M23" s="272">
        <f t="shared" si="7"/>
        <v>13595600.867672842</v>
      </c>
    </row>
    <row r="24" spans="1:13" outlineLevel="1">
      <c r="A24" s="852" t="s">
        <v>190</v>
      </c>
      <c r="B24" s="68"/>
      <c r="C24" s="159">
        <v>0</v>
      </c>
      <c r="D24" s="156">
        <f>C24</f>
        <v>0</v>
      </c>
      <c r="E24" s="483">
        <f>D24</f>
        <v>0</v>
      </c>
      <c r="F24" s="157">
        <f>E24</f>
        <v>0</v>
      </c>
      <c r="G24" s="156">
        <f t="shared" ref="G24:M24" si="8">F24</f>
        <v>0</v>
      </c>
      <c r="H24" s="157">
        <f t="shared" si="8"/>
        <v>0</v>
      </c>
      <c r="I24" s="158">
        <f t="shared" si="8"/>
        <v>0</v>
      </c>
      <c r="J24" s="156">
        <f t="shared" si="8"/>
        <v>0</v>
      </c>
      <c r="K24" s="157">
        <f t="shared" si="8"/>
        <v>0</v>
      </c>
      <c r="L24" s="157">
        <f t="shared" si="8"/>
        <v>0</v>
      </c>
      <c r="M24" s="158">
        <f t="shared" si="8"/>
        <v>0</v>
      </c>
    </row>
    <row r="25" spans="1:13" ht="13.5" outlineLevel="1" thickBot="1">
      <c r="A25" s="150" t="s">
        <v>184</v>
      </c>
      <c r="B25" s="71"/>
      <c r="C25" s="490">
        <f>C10*C21</f>
        <v>0</v>
      </c>
      <c r="D25" s="469">
        <f t="shared" ref="D25:M25" si="9">D10*D21</f>
        <v>0</v>
      </c>
      <c r="E25" s="486">
        <f t="shared" si="9"/>
        <v>163356.05587499999</v>
      </c>
      <c r="F25" s="486">
        <f>F10*F21</f>
        <v>168256.73755125</v>
      </c>
      <c r="G25" s="469">
        <f t="shared" si="9"/>
        <v>173304.43967778748</v>
      </c>
      <c r="H25" s="486">
        <f t="shared" si="9"/>
        <v>178503.57286812109</v>
      </c>
      <c r="I25" s="487">
        <f t="shared" si="9"/>
        <v>183858.68005416475</v>
      </c>
      <c r="J25" s="469">
        <f t="shared" si="9"/>
        <v>189374.44045578971</v>
      </c>
      <c r="K25" s="486">
        <f t="shared" si="9"/>
        <v>195055.67366946337</v>
      </c>
      <c r="L25" s="486">
        <f t="shared" si="9"/>
        <v>200907.34387954726</v>
      </c>
      <c r="M25" s="487">
        <f t="shared" si="9"/>
        <v>206934.56419593369</v>
      </c>
    </row>
    <row r="26" spans="1:13" s="296" customFormat="1">
      <c r="A26" s="66" t="s">
        <v>384</v>
      </c>
      <c r="B26" s="68"/>
      <c r="C26" s="228"/>
      <c r="D26" s="139"/>
      <c r="E26" s="346"/>
      <c r="F26" s="346"/>
      <c r="G26" s="67"/>
      <c r="H26" s="77"/>
      <c r="I26" s="122"/>
      <c r="J26" s="67"/>
      <c r="K26" s="77"/>
      <c r="L26" s="77"/>
      <c r="M26" s="122"/>
    </row>
    <row r="27" spans="1:13">
      <c r="A27" s="67" t="s">
        <v>11</v>
      </c>
      <c r="B27" s="138">
        <v>0.03</v>
      </c>
      <c r="C27" s="313"/>
      <c r="D27" s="67"/>
      <c r="E27" s="77"/>
      <c r="F27" s="77"/>
      <c r="G27" s="67"/>
      <c r="H27" s="77"/>
      <c r="I27" s="122"/>
      <c r="J27" s="67"/>
      <c r="K27" s="77"/>
      <c r="L27" s="77"/>
      <c r="M27" s="122"/>
    </row>
    <row r="28" spans="1:13">
      <c r="A28" s="67" t="s">
        <v>28</v>
      </c>
      <c r="B28" s="68"/>
      <c r="C28" s="350">
        <v>0</v>
      </c>
      <c r="D28" s="230">
        <f t="shared" ref="D28:F29" si="10">C28</f>
        <v>0</v>
      </c>
      <c r="E28" s="203">
        <f t="shared" si="10"/>
        <v>0</v>
      </c>
      <c r="F28" s="203">
        <f t="shared" si="10"/>
        <v>0</v>
      </c>
      <c r="G28" s="230">
        <f t="shared" ref="G28:M28" si="11">F28</f>
        <v>0</v>
      </c>
      <c r="H28" s="203">
        <f>C107</f>
        <v>1611.0718750000001</v>
      </c>
      <c r="I28" s="208">
        <f t="shared" si="11"/>
        <v>1611.0718750000001</v>
      </c>
      <c r="J28" s="230">
        <f t="shared" si="11"/>
        <v>1611.0718750000001</v>
      </c>
      <c r="K28" s="203">
        <f t="shared" si="11"/>
        <v>1611.0718750000001</v>
      </c>
      <c r="L28" s="203">
        <f t="shared" si="11"/>
        <v>1611.0718750000001</v>
      </c>
      <c r="M28" s="208">
        <f t="shared" si="11"/>
        <v>1611.0718750000001</v>
      </c>
    </row>
    <row r="29" spans="1:13">
      <c r="A29" s="67" t="s">
        <v>84</v>
      </c>
      <c r="B29" s="68"/>
      <c r="C29" s="350">
        <v>0</v>
      </c>
      <c r="D29" s="230">
        <f t="shared" si="10"/>
        <v>0</v>
      </c>
      <c r="E29" s="203">
        <f t="shared" si="10"/>
        <v>0</v>
      </c>
      <c r="F29" s="203">
        <f t="shared" si="10"/>
        <v>0</v>
      </c>
      <c r="G29" s="230">
        <f t="shared" ref="G29:M29" si="12">F29</f>
        <v>0</v>
      </c>
      <c r="H29" s="203">
        <f>D107</f>
        <v>515543</v>
      </c>
      <c r="I29" s="208">
        <f t="shared" si="12"/>
        <v>515543</v>
      </c>
      <c r="J29" s="230">
        <f t="shared" si="12"/>
        <v>515543</v>
      </c>
      <c r="K29" s="203">
        <f t="shared" si="12"/>
        <v>515543</v>
      </c>
      <c r="L29" s="203">
        <f t="shared" si="12"/>
        <v>515543</v>
      </c>
      <c r="M29" s="208">
        <f t="shared" si="12"/>
        <v>515543</v>
      </c>
    </row>
    <row r="30" spans="1:13">
      <c r="A30" s="192" t="s">
        <v>19</v>
      </c>
      <c r="B30" s="68"/>
      <c r="C30" s="399">
        <f>C11</f>
        <v>215</v>
      </c>
      <c r="D30" s="480">
        <f t="shared" ref="D30:M30" si="13">D11</f>
        <v>221.45000000000002</v>
      </c>
      <c r="E30" s="379">
        <f t="shared" si="13"/>
        <v>228.09349999999998</v>
      </c>
      <c r="F30" s="379">
        <f t="shared" si="13"/>
        <v>234.936305</v>
      </c>
      <c r="G30" s="480">
        <f t="shared" si="13"/>
        <v>241.98439414999999</v>
      </c>
      <c r="H30" s="379">
        <f t="shared" si="13"/>
        <v>249.24392597449997</v>
      </c>
      <c r="I30" s="451">
        <f t="shared" si="13"/>
        <v>256.721243753735</v>
      </c>
      <c r="J30" s="480">
        <f t="shared" si="13"/>
        <v>264.42288106634703</v>
      </c>
      <c r="K30" s="379">
        <f t="shared" si="13"/>
        <v>272.35556749833745</v>
      </c>
      <c r="L30" s="379">
        <f t="shared" si="13"/>
        <v>280.52623452328754</v>
      </c>
      <c r="M30" s="451">
        <f t="shared" si="13"/>
        <v>288.9420215589862</v>
      </c>
    </row>
    <row r="31" spans="1:13">
      <c r="A31" s="192" t="s">
        <v>20</v>
      </c>
      <c r="B31" s="68"/>
      <c r="C31" s="237">
        <v>0.6</v>
      </c>
      <c r="D31" s="287"/>
      <c r="E31" s="119"/>
      <c r="F31" s="119"/>
      <c r="G31" s="287"/>
      <c r="H31" s="119"/>
      <c r="I31" s="238"/>
      <c r="J31" s="287"/>
      <c r="K31" s="119"/>
      <c r="L31" s="119"/>
      <c r="M31" s="238"/>
    </row>
    <row r="32" spans="1:13">
      <c r="A32" s="192" t="s">
        <v>21</v>
      </c>
      <c r="B32" s="68"/>
      <c r="C32" s="237">
        <v>0.6</v>
      </c>
      <c r="D32" s="287"/>
      <c r="E32" s="119"/>
      <c r="F32" s="119"/>
      <c r="G32" s="287"/>
      <c r="H32" s="119"/>
      <c r="I32" s="238"/>
      <c r="J32" s="287"/>
      <c r="K32" s="119"/>
      <c r="L32" s="119"/>
      <c r="M32" s="238"/>
    </row>
    <row r="33" spans="1:13">
      <c r="A33" s="192" t="s">
        <v>22</v>
      </c>
      <c r="B33" s="68"/>
      <c r="C33" s="488">
        <f>52*2</f>
        <v>104</v>
      </c>
      <c r="D33" s="228"/>
      <c r="E33" s="68"/>
      <c r="F33" s="68"/>
      <c r="G33" s="228"/>
      <c r="H33" s="68"/>
      <c r="I33" s="200"/>
      <c r="J33" s="228"/>
      <c r="K33" s="68"/>
      <c r="L33" s="68"/>
      <c r="M33" s="200"/>
    </row>
    <row r="34" spans="1:13">
      <c r="A34" s="192" t="s">
        <v>23</v>
      </c>
      <c r="B34" s="68"/>
      <c r="C34" s="488">
        <v>24</v>
      </c>
      <c r="D34" s="228"/>
      <c r="E34" s="68"/>
      <c r="F34" s="68"/>
      <c r="G34" s="228"/>
      <c r="H34" s="68"/>
      <c r="I34" s="200"/>
      <c r="J34" s="228"/>
      <c r="K34" s="68"/>
      <c r="L34" s="68"/>
      <c r="M34" s="200"/>
    </row>
    <row r="35" spans="1:13">
      <c r="A35" s="192" t="s">
        <v>24</v>
      </c>
      <c r="B35" s="68"/>
      <c r="C35" s="237">
        <v>0.3</v>
      </c>
      <c r="D35" s="287"/>
      <c r="E35" s="119"/>
      <c r="F35" s="119"/>
      <c r="G35" s="287"/>
      <c r="H35" s="119"/>
      <c r="I35" s="238"/>
      <c r="J35" s="287"/>
      <c r="K35" s="119"/>
      <c r="L35" s="119"/>
      <c r="M35" s="238"/>
    </row>
    <row r="36" spans="1:13">
      <c r="A36" s="192" t="s">
        <v>25</v>
      </c>
      <c r="B36" s="68"/>
      <c r="C36" s="228">
        <f>365-C33</f>
        <v>261</v>
      </c>
      <c r="D36" s="228"/>
      <c r="E36" s="68"/>
      <c r="F36" s="68"/>
      <c r="G36" s="228"/>
      <c r="H36" s="68"/>
      <c r="I36" s="200"/>
      <c r="J36" s="228"/>
      <c r="K36" s="68"/>
      <c r="L36" s="68"/>
      <c r="M36" s="200"/>
    </row>
    <row r="37" spans="1:13">
      <c r="A37" s="192" t="s">
        <v>23</v>
      </c>
      <c r="B37" s="68"/>
      <c r="C37" s="488">
        <v>24</v>
      </c>
      <c r="D37" s="228"/>
      <c r="E37" s="68"/>
      <c r="F37" s="68"/>
      <c r="G37" s="228"/>
      <c r="H37" s="68"/>
      <c r="I37" s="200"/>
      <c r="J37" s="228"/>
      <c r="K37" s="68"/>
      <c r="L37" s="68"/>
      <c r="M37" s="200"/>
    </row>
    <row r="38" spans="1:13">
      <c r="A38" s="192" t="s">
        <v>24</v>
      </c>
      <c r="B38" s="68"/>
      <c r="C38" s="237">
        <v>0.3</v>
      </c>
      <c r="D38" s="287"/>
      <c r="E38" s="119"/>
      <c r="F38" s="119"/>
      <c r="G38" s="287"/>
      <c r="H38" s="119"/>
      <c r="I38" s="238"/>
      <c r="J38" s="287"/>
      <c r="K38" s="119"/>
      <c r="L38" s="119"/>
      <c r="M38" s="238"/>
    </row>
    <row r="39" spans="1:13" s="477" customFormat="1">
      <c r="A39" s="192" t="s">
        <v>26</v>
      </c>
      <c r="B39" s="68"/>
      <c r="C39" s="468">
        <f>C20</f>
        <v>4</v>
      </c>
      <c r="D39" s="480">
        <f t="shared" ref="D39:M39" si="14">$C$20*(1+$B27)^D$4</f>
        <v>4.12</v>
      </c>
      <c r="E39" s="379">
        <f t="shared" si="14"/>
        <v>4.2435999999999998</v>
      </c>
      <c r="F39" s="379">
        <f t="shared" si="14"/>
        <v>4.370908</v>
      </c>
      <c r="G39" s="480">
        <f t="shared" si="14"/>
        <v>4.5020352399999997</v>
      </c>
      <c r="H39" s="379">
        <f t="shared" si="14"/>
        <v>4.6370962971999994</v>
      </c>
      <c r="I39" s="451">
        <f t="shared" si="14"/>
        <v>4.7762091861159996</v>
      </c>
      <c r="J39" s="480">
        <f t="shared" si="14"/>
        <v>4.9194954616994799</v>
      </c>
      <c r="K39" s="379">
        <f t="shared" si="14"/>
        <v>5.0670803255504637</v>
      </c>
      <c r="L39" s="379">
        <f t="shared" si="14"/>
        <v>5.2190927353169778</v>
      </c>
      <c r="M39" s="451">
        <f t="shared" si="14"/>
        <v>5.3756655173764871</v>
      </c>
    </row>
    <row r="40" spans="1:13" ht="13.5" thickBot="1">
      <c r="A40" s="150" t="s">
        <v>187</v>
      </c>
      <c r="B40" s="71"/>
      <c r="C40" s="489">
        <f>C21</f>
        <v>0.5</v>
      </c>
      <c r="D40" s="482">
        <f t="shared" ref="D40:M40" si="15">$C$21*(1+$B27)^D$4</f>
        <v>0.51500000000000001</v>
      </c>
      <c r="E40" s="481">
        <f t="shared" si="15"/>
        <v>0.53044999999999998</v>
      </c>
      <c r="F40" s="481">
        <f t="shared" si="15"/>
        <v>0.5463635</v>
      </c>
      <c r="G40" s="482">
        <f t="shared" si="15"/>
        <v>0.56275440499999996</v>
      </c>
      <c r="H40" s="481">
        <f t="shared" si="15"/>
        <v>0.57963703714999992</v>
      </c>
      <c r="I40" s="452">
        <f t="shared" si="15"/>
        <v>0.59702614826449996</v>
      </c>
      <c r="J40" s="482">
        <f t="shared" si="15"/>
        <v>0.61493693271243499</v>
      </c>
      <c r="K40" s="481">
        <f t="shared" si="15"/>
        <v>0.63338504069380797</v>
      </c>
      <c r="L40" s="481">
        <f t="shared" si="15"/>
        <v>0.65238659191462223</v>
      </c>
      <c r="M40" s="452">
        <f t="shared" si="15"/>
        <v>0.67195818967206089</v>
      </c>
    </row>
    <row r="41" spans="1:13" outlineLevel="1">
      <c r="A41" s="352" t="s">
        <v>188</v>
      </c>
      <c r="B41" s="222"/>
      <c r="C41" s="265">
        <f>C28*C30*$C32*12</f>
        <v>0</v>
      </c>
      <c r="D41" s="473">
        <f t="shared" ref="D41:M41" si="16">D28*D30*$C32*12</f>
        <v>0</v>
      </c>
      <c r="E41" s="484">
        <f t="shared" si="16"/>
        <v>0</v>
      </c>
      <c r="F41" s="484">
        <f t="shared" si="16"/>
        <v>0</v>
      </c>
      <c r="G41" s="473">
        <f t="shared" si="16"/>
        <v>0</v>
      </c>
      <c r="H41" s="484">
        <f t="shared" si="16"/>
        <v>2891159.129895112</v>
      </c>
      <c r="I41" s="485">
        <f t="shared" si="16"/>
        <v>2977893.9037919659</v>
      </c>
      <c r="J41" s="473">
        <f t="shared" si="16"/>
        <v>3067230.7209057244</v>
      </c>
      <c r="K41" s="484">
        <f t="shared" si="16"/>
        <v>3159247.6425328963</v>
      </c>
      <c r="L41" s="484">
        <f t="shared" si="16"/>
        <v>3254025.071808883</v>
      </c>
      <c r="M41" s="485">
        <f t="shared" si="16"/>
        <v>3351645.8239631495</v>
      </c>
    </row>
    <row r="42" spans="1:13" outlineLevel="1">
      <c r="A42" s="192" t="s">
        <v>189</v>
      </c>
      <c r="B42" s="68"/>
      <c r="C42" s="155">
        <f>(C28*$C33*$C34*$C35*C39)+(C28*$C36*$C37*$C38*C39)</f>
        <v>0</v>
      </c>
      <c r="D42" s="271">
        <f t="shared" ref="D42:M42" si="17">(D28*$C33*$C34*$C35*D39)+(D28*$C36*$C37*$C38*D39)</f>
        <v>0</v>
      </c>
      <c r="E42" s="250">
        <f t="shared" si="17"/>
        <v>0</v>
      </c>
      <c r="F42" s="250">
        <f t="shared" si="17"/>
        <v>0</v>
      </c>
      <c r="G42" s="271">
        <f t="shared" si="17"/>
        <v>0</v>
      </c>
      <c r="H42" s="250">
        <f t="shared" si="17"/>
        <v>19632987.579752855</v>
      </c>
      <c r="I42" s="272">
        <f t="shared" si="17"/>
        <v>20221977.207145441</v>
      </c>
      <c r="J42" s="271">
        <f t="shared" si="17"/>
        <v>20828636.523359805</v>
      </c>
      <c r="K42" s="250">
        <f t="shared" si="17"/>
        <v>21453495.619060598</v>
      </c>
      <c r="L42" s="250">
        <f t="shared" si="17"/>
        <v>22097100.487632416</v>
      </c>
      <c r="M42" s="272">
        <f t="shared" si="17"/>
        <v>22760013.502261389</v>
      </c>
    </row>
    <row r="43" spans="1:13" outlineLevel="1">
      <c r="A43" s="192" t="s">
        <v>190</v>
      </c>
      <c r="B43" s="68"/>
      <c r="C43" s="159">
        <v>0</v>
      </c>
      <c r="D43" s="156">
        <f>C43</f>
        <v>0</v>
      </c>
      <c r="E43" s="157">
        <f>D43</f>
        <v>0</v>
      </c>
      <c r="F43" s="157">
        <f>E43</f>
        <v>0</v>
      </c>
      <c r="G43" s="156">
        <f t="shared" ref="G43:M43" si="18">F43</f>
        <v>0</v>
      </c>
      <c r="H43" s="157">
        <f t="shared" si="18"/>
        <v>0</v>
      </c>
      <c r="I43" s="158">
        <f t="shared" si="18"/>
        <v>0</v>
      </c>
      <c r="J43" s="156">
        <f t="shared" si="18"/>
        <v>0</v>
      </c>
      <c r="K43" s="157">
        <f t="shared" si="18"/>
        <v>0</v>
      </c>
      <c r="L43" s="157">
        <f t="shared" si="18"/>
        <v>0</v>
      </c>
      <c r="M43" s="158">
        <f t="shared" si="18"/>
        <v>0</v>
      </c>
    </row>
    <row r="44" spans="1:13" ht="13.5" outlineLevel="1" thickBot="1">
      <c r="A44" s="150" t="s">
        <v>184</v>
      </c>
      <c r="B44" s="71"/>
      <c r="C44" s="490">
        <f>C29*C40</f>
        <v>0</v>
      </c>
      <c r="D44" s="469">
        <f t="shared" ref="D44:M44" si="19">D29*D40</f>
        <v>0</v>
      </c>
      <c r="E44" s="486">
        <f t="shared" si="19"/>
        <v>0</v>
      </c>
      <c r="F44" s="486">
        <f>F29*F40</f>
        <v>0</v>
      </c>
      <c r="G44" s="469">
        <f t="shared" si="19"/>
        <v>0</v>
      </c>
      <c r="H44" s="486">
        <f t="shared" si="19"/>
        <v>298827.81704342243</v>
      </c>
      <c r="I44" s="487">
        <f t="shared" si="19"/>
        <v>307792.65155472507</v>
      </c>
      <c r="J44" s="469">
        <f t="shared" si="19"/>
        <v>317026.43110136688</v>
      </c>
      <c r="K44" s="486">
        <f t="shared" si="19"/>
        <v>326537.22403440782</v>
      </c>
      <c r="L44" s="486">
        <f t="shared" si="19"/>
        <v>336333.34075544006</v>
      </c>
      <c r="M44" s="487">
        <f t="shared" si="19"/>
        <v>346423.34097810328</v>
      </c>
    </row>
    <row r="45" spans="1:13" s="296" customFormat="1">
      <c r="A45" s="66" t="s">
        <v>385</v>
      </c>
      <c r="B45" s="68"/>
      <c r="C45" s="228"/>
      <c r="D45" s="139"/>
      <c r="E45" s="346"/>
      <c r="F45" s="346"/>
      <c r="G45" s="67"/>
      <c r="H45" s="77"/>
      <c r="I45" s="122"/>
      <c r="J45" s="67"/>
      <c r="K45" s="77"/>
      <c r="L45" s="77"/>
      <c r="M45" s="122"/>
    </row>
    <row r="46" spans="1:13">
      <c r="A46" s="67" t="s">
        <v>11</v>
      </c>
      <c r="B46" s="138">
        <v>0.03</v>
      </c>
      <c r="C46" s="313"/>
      <c r="D46" s="67"/>
      <c r="E46" s="77"/>
      <c r="F46" s="77"/>
      <c r="G46" s="67"/>
      <c r="H46" s="77"/>
      <c r="I46" s="122"/>
      <c r="J46" s="67"/>
      <c r="K46" s="77"/>
      <c r="L46" s="77"/>
      <c r="M46" s="122"/>
    </row>
    <row r="47" spans="1:13">
      <c r="A47" s="67" t="s">
        <v>28</v>
      </c>
      <c r="B47" s="68"/>
      <c r="C47" s="350">
        <v>0</v>
      </c>
      <c r="D47" s="230">
        <f t="shared" ref="D47:F48" si="20">C47</f>
        <v>0</v>
      </c>
      <c r="E47" s="203">
        <f t="shared" si="20"/>
        <v>0</v>
      </c>
      <c r="F47" s="203">
        <f t="shared" si="20"/>
        <v>0</v>
      </c>
      <c r="G47" s="230">
        <f t="shared" ref="G47:M47" si="21">F47</f>
        <v>0</v>
      </c>
      <c r="H47" s="203">
        <f t="shared" si="21"/>
        <v>0</v>
      </c>
      <c r="I47" s="208">
        <f>C108</f>
        <v>528.30937500000005</v>
      </c>
      <c r="J47" s="230">
        <f t="shared" si="21"/>
        <v>528.30937500000005</v>
      </c>
      <c r="K47" s="203">
        <f t="shared" si="21"/>
        <v>528.30937500000005</v>
      </c>
      <c r="L47" s="203">
        <f t="shared" si="21"/>
        <v>528.30937500000005</v>
      </c>
      <c r="M47" s="208">
        <f t="shared" si="21"/>
        <v>528.30937500000005</v>
      </c>
    </row>
    <row r="48" spans="1:13">
      <c r="A48" s="67" t="s">
        <v>84</v>
      </c>
      <c r="B48" s="68"/>
      <c r="C48" s="350">
        <v>0</v>
      </c>
      <c r="D48" s="230">
        <f t="shared" si="20"/>
        <v>0</v>
      </c>
      <c r="E48" s="203">
        <f t="shared" si="20"/>
        <v>0</v>
      </c>
      <c r="F48" s="203">
        <f t="shared" si="20"/>
        <v>0</v>
      </c>
      <c r="G48" s="230">
        <f t="shared" ref="G48:M48" si="22">F48</f>
        <v>0</v>
      </c>
      <c r="H48" s="203">
        <f t="shared" si="22"/>
        <v>0</v>
      </c>
      <c r="I48" s="208">
        <f>D108</f>
        <v>169059</v>
      </c>
      <c r="J48" s="230">
        <f t="shared" si="22"/>
        <v>169059</v>
      </c>
      <c r="K48" s="203">
        <f t="shared" si="22"/>
        <v>169059</v>
      </c>
      <c r="L48" s="203">
        <f t="shared" si="22"/>
        <v>169059</v>
      </c>
      <c r="M48" s="208">
        <f t="shared" si="22"/>
        <v>169059</v>
      </c>
    </row>
    <row r="49" spans="1:13">
      <c r="A49" s="192" t="s">
        <v>19</v>
      </c>
      <c r="B49" s="68"/>
      <c r="C49" s="399">
        <f>C30</f>
        <v>215</v>
      </c>
      <c r="D49" s="480">
        <f t="shared" ref="D49:M49" si="23">D30</f>
        <v>221.45000000000002</v>
      </c>
      <c r="E49" s="379">
        <f t="shared" si="23"/>
        <v>228.09349999999998</v>
      </c>
      <c r="F49" s="379">
        <f t="shared" si="23"/>
        <v>234.936305</v>
      </c>
      <c r="G49" s="480">
        <f t="shared" si="23"/>
        <v>241.98439414999999</v>
      </c>
      <c r="H49" s="379">
        <f t="shared" si="23"/>
        <v>249.24392597449997</v>
      </c>
      <c r="I49" s="451">
        <f t="shared" si="23"/>
        <v>256.721243753735</v>
      </c>
      <c r="J49" s="480">
        <f t="shared" si="23"/>
        <v>264.42288106634703</v>
      </c>
      <c r="K49" s="379">
        <f t="shared" si="23"/>
        <v>272.35556749833745</v>
      </c>
      <c r="L49" s="379">
        <f t="shared" si="23"/>
        <v>280.52623452328754</v>
      </c>
      <c r="M49" s="451">
        <f t="shared" si="23"/>
        <v>288.9420215589862</v>
      </c>
    </row>
    <row r="50" spans="1:13">
      <c r="A50" s="192" t="s">
        <v>20</v>
      </c>
      <c r="B50" s="68"/>
      <c r="C50" s="237">
        <v>0.6</v>
      </c>
      <c r="D50" s="287"/>
      <c r="E50" s="119"/>
      <c r="F50" s="119"/>
      <c r="G50" s="287"/>
      <c r="H50" s="119"/>
      <c r="I50" s="238"/>
      <c r="J50" s="287"/>
      <c r="K50" s="119"/>
      <c r="L50" s="119"/>
      <c r="M50" s="238"/>
    </row>
    <row r="51" spans="1:13">
      <c r="A51" s="192" t="s">
        <v>21</v>
      </c>
      <c r="B51" s="68"/>
      <c r="C51" s="237">
        <v>0.6</v>
      </c>
      <c r="D51" s="287"/>
      <c r="E51" s="119"/>
      <c r="F51" s="119"/>
      <c r="G51" s="287"/>
      <c r="H51" s="119"/>
      <c r="I51" s="238"/>
      <c r="J51" s="287"/>
      <c r="K51" s="119"/>
      <c r="L51" s="119"/>
      <c r="M51" s="238"/>
    </row>
    <row r="52" spans="1:13">
      <c r="A52" s="192" t="s">
        <v>22</v>
      </c>
      <c r="B52" s="68"/>
      <c r="C52" s="488">
        <f>52*2</f>
        <v>104</v>
      </c>
      <c r="D52" s="228"/>
      <c r="E52" s="68"/>
      <c r="F52" s="68"/>
      <c r="G52" s="228"/>
      <c r="H52" s="68"/>
      <c r="I52" s="200"/>
      <c r="J52" s="228"/>
      <c r="K52" s="68"/>
      <c r="L52" s="68"/>
      <c r="M52" s="200"/>
    </row>
    <row r="53" spans="1:13">
      <c r="A53" s="192" t="s">
        <v>23</v>
      </c>
      <c r="B53" s="68"/>
      <c r="C53" s="488">
        <v>24</v>
      </c>
      <c r="D53" s="228"/>
      <c r="E53" s="68"/>
      <c r="F53" s="68"/>
      <c r="G53" s="228"/>
      <c r="H53" s="68"/>
      <c r="I53" s="200"/>
      <c r="J53" s="228"/>
      <c r="K53" s="68"/>
      <c r="L53" s="68"/>
      <c r="M53" s="200"/>
    </row>
    <row r="54" spans="1:13">
      <c r="A54" s="192" t="s">
        <v>24</v>
      </c>
      <c r="B54" s="68"/>
      <c r="C54" s="237">
        <v>0.1</v>
      </c>
      <c r="D54" s="287"/>
      <c r="E54" s="119"/>
      <c r="F54" s="119"/>
      <c r="G54" s="287"/>
      <c r="H54" s="119"/>
      <c r="I54" s="238"/>
      <c r="J54" s="287"/>
      <c r="K54" s="119"/>
      <c r="L54" s="119"/>
      <c r="M54" s="238"/>
    </row>
    <row r="55" spans="1:13">
      <c r="A55" s="192" t="s">
        <v>25</v>
      </c>
      <c r="B55" s="68"/>
      <c r="C55" s="228">
        <f>365-C52</f>
        <v>261</v>
      </c>
      <c r="D55" s="228"/>
      <c r="E55" s="68"/>
      <c r="F55" s="68"/>
      <c r="G55" s="228"/>
      <c r="H55" s="68"/>
      <c r="I55" s="200"/>
      <c r="J55" s="228"/>
      <c r="K55" s="68"/>
      <c r="L55" s="68"/>
      <c r="M55" s="200"/>
    </row>
    <row r="56" spans="1:13">
      <c r="A56" s="192" t="s">
        <v>23</v>
      </c>
      <c r="B56" s="68"/>
      <c r="C56" s="488">
        <v>24</v>
      </c>
      <c r="D56" s="228"/>
      <c r="E56" s="68"/>
      <c r="F56" s="68"/>
      <c r="G56" s="228"/>
      <c r="H56" s="68"/>
      <c r="I56" s="200"/>
      <c r="J56" s="228"/>
      <c r="K56" s="68"/>
      <c r="L56" s="68"/>
      <c r="M56" s="200"/>
    </row>
    <row r="57" spans="1:13">
      <c r="A57" s="192" t="s">
        <v>24</v>
      </c>
      <c r="B57" s="68"/>
      <c r="C57" s="237">
        <v>0.1</v>
      </c>
      <c r="D57" s="287"/>
      <c r="E57" s="119"/>
      <c r="F57" s="119"/>
      <c r="G57" s="287"/>
      <c r="H57" s="119"/>
      <c r="I57" s="238"/>
      <c r="J57" s="287"/>
      <c r="K57" s="119"/>
      <c r="L57" s="119"/>
      <c r="M57" s="238"/>
    </row>
    <row r="58" spans="1:13" s="477" customFormat="1">
      <c r="A58" s="192" t="s">
        <v>26</v>
      </c>
      <c r="B58" s="68"/>
      <c r="C58" s="468">
        <f>C39</f>
        <v>4</v>
      </c>
      <c r="D58" s="480">
        <f t="shared" ref="D58:M58" si="24">$C$20*(1+$B46)^D$4</f>
        <v>4.12</v>
      </c>
      <c r="E58" s="379">
        <f t="shared" si="24"/>
        <v>4.2435999999999998</v>
      </c>
      <c r="F58" s="379">
        <f t="shared" si="24"/>
        <v>4.370908</v>
      </c>
      <c r="G58" s="480">
        <f t="shared" si="24"/>
        <v>4.5020352399999997</v>
      </c>
      <c r="H58" s="379">
        <f t="shared" si="24"/>
        <v>4.6370962971999994</v>
      </c>
      <c r="I58" s="451">
        <f t="shared" si="24"/>
        <v>4.7762091861159996</v>
      </c>
      <c r="J58" s="480">
        <f t="shared" si="24"/>
        <v>4.9194954616994799</v>
      </c>
      <c r="K58" s="379">
        <f t="shared" si="24"/>
        <v>5.0670803255504637</v>
      </c>
      <c r="L58" s="379">
        <f t="shared" si="24"/>
        <v>5.2190927353169778</v>
      </c>
      <c r="M58" s="451">
        <f t="shared" si="24"/>
        <v>5.3756655173764871</v>
      </c>
    </row>
    <row r="59" spans="1:13" ht="13.5" thickBot="1">
      <c r="A59" s="150" t="s">
        <v>187</v>
      </c>
      <c r="B59" s="71"/>
      <c r="C59" s="489">
        <v>0.5</v>
      </c>
      <c r="D59" s="482">
        <f t="shared" ref="D59:M59" si="25">$C$21*(1+$B46)^D$4</f>
        <v>0.51500000000000001</v>
      </c>
      <c r="E59" s="481">
        <f t="shared" si="25"/>
        <v>0.53044999999999998</v>
      </c>
      <c r="F59" s="481">
        <f t="shared" si="25"/>
        <v>0.5463635</v>
      </c>
      <c r="G59" s="482">
        <f t="shared" si="25"/>
        <v>0.56275440499999996</v>
      </c>
      <c r="H59" s="481">
        <f t="shared" si="25"/>
        <v>0.57963703714999992</v>
      </c>
      <c r="I59" s="452">
        <f t="shared" si="25"/>
        <v>0.59702614826449996</v>
      </c>
      <c r="J59" s="482">
        <f t="shared" si="25"/>
        <v>0.61493693271243499</v>
      </c>
      <c r="K59" s="481">
        <f t="shared" si="25"/>
        <v>0.63338504069380797</v>
      </c>
      <c r="L59" s="481">
        <f t="shared" si="25"/>
        <v>0.65238659191462223</v>
      </c>
      <c r="M59" s="452">
        <f t="shared" si="25"/>
        <v>0.67195818967206089</v>
      </c>
    </row>
    <row r="60" spans="1:13" outlineLevel="1">
      <c r="A60" s="352" t="s">
        <v>188</v>
      </c>
      <c r="B60" s="222"/>
      <c r="C60" s="265">
        <f>C47*C49*$C51*12</f>
        <v>0</v>
      </c>
      <c r="D60" s="473">
        <f t="shared" ref="D60:M60" si="26">D47*D49*$C51*12</f>
        <v>0</v>
      </c>
      <c r="E60" s="484">
        <f t="shared" si="26"/>
        <v>0</v>
      </c>
      <c r="F60" s="484">
        <f t="shared" si="26"/>
        <v>0</v>
      </c>
      <c r="G60" s="473">
        <f t="shared" si="26"/>
        <v>0</v>
      </c>
      <c r="H60" s="484">
        <f t="shared" si="26"/>
        <v>0</v>
      </c>
      <c r="I60" s="485">
        <f>I47*I49*$C51*12</f>
        <v>976523.32682466065</v>
      </c>
      <c r="J60" s="473">
        <f t="shared" si="26"/>
        <v>1005819.0266294003</v>
      </c>
      <c r="K60" s="484">
        <f t="shared" si="26"/>
        <v>1035993.5974282823</v>
      </c>
      <c r="L60" s="484">
        <f t="shared" si="26"/>
        <v>1067073.4053511308</v>
      </c>
      <c r="M60" s="485">
        <f t="shared" si="26"/>
        <v>1099085.6075116645</v>
      </c>
    </row>
    <row r="61" spans="1:13" outlineLevel="1">
      <c r="A61" s="891" t="s">
        <v>189</v>
      </c>
      <c r="B61" s="68"/>
      <c r="C61" s="155">
        <f>(C47*$C52*$C53*$C54*C58)+(C47*$C55*$C56*$C57*C58)</f>
        <v>0</v>
      </c>
      <c r="D61" s="271">
        <f t="shared" ref="D61:M61" si="27">(D47*$C52*$C53*$C54*D58)+(D47*$C55*$C56*$C57*D58)</f>
        <v>0</v>
      </c>
      <c r="E61" s="250">
        <f t="shared" si="27"/>
        <v>0</v>
      </c>
      <c r="F61" s="250">
        <f t="shared" si="27"/>
        <v>0</v>
      </c>
      <c r="G61" s="271">
        <f t="shared" si="27"/>
        <v>0</v>
      </c>
      <c r="H61" s="250">
        <f t="shared" si="27"/>
        <v>0</v>
      </c>
      <c r="I61" s="272">
        <f>(I47*$C52*$C53*$C54*I58)+(I47*$C55*$C56*$C57*I58)</f>
        <v>2210424.8948279135</v>
      </c>
      <c r="J61" s="271">
        <f t="shared" si="27"/>
        <v>2276737.6416727514</v>
      </c>
      <c r="K61" s="250">
        <f t="shared" si="27"/>
        <v>2345039.7709229337</v>
      </c>
      <c r="L61" s="250">
        <f t="shared" si="27"/>
        <v>2415390.9640506217</v>
      </c>
      <c r="M61" s="272">
        <f t="shared" si="27"/>
        <v>2487852.6929721404</v>
      </c>
    </row>
    <row r="62" spans="1:13" outlineLevel="1">
      <c r="A62" s="192" t="s">
        <v>190</v>
      </c>
      <c r="B62" s="68"/>
      <c r="C62" s="159">
        <v>0</v>
      </c>
      <c r="D62" s="156">
        <f>C62</f>
        <v>0</v>
      </c>
      <c r="E62" s="157">
        <f>D62</f>
        <v>0</v>
      </c>
      <c r="F62" s="157">
        <f>E62</f>
        <v>0</v>
      </c>
      <c r="G62" s="156">
        <f t="shared" ref="G62:M62" si="28">F62</f>
        <v>0</v>
      </c>
      <c r="H62" s="157">
        <f t="shared" si="28"/>
        <v>0</v>
      </c>
      <c r="I62" s="158">
        <f t="shared" si="28"/>
        <v>0</v>
      </c>
      <c r="J62" s="156">
        <f t="shared" si="28"/>
        <v>0</v>
      </c>
      <c r="K62" s="157">
        <f t="shared" si="28"/>
        <v>0</v>
      </c>
      <c r="L62" s="157">
        <f t="shared" si="28"/>
        <v>0</v>
      </c>
      <c r="M62" s="158">
        <f t="shared" si="28"/>
        <v>0</v>
      </c>
    </row>
    <row r="63" spans="1:13" ht="13.5" outlineLevel="1" thickBot="1">
      <c r="A63" s="150" t="s">
        <v>184</v>
      </c>
      <c r="B63" s="71"/>
      <c r="C63" s="490">
        <f>C48*C59</f>
        <v>0</v>
      </c>
      <c r="D63" s="469">
        <f t="shared" ref="D63:M63" si="29">D48*D59</f>
        <v>0</v>
      </c>
      <c r="E63" s="486">
        <f t="shared" si="29"/>
        <v>0</v>
      </c>
      <c r="F63" s="486">
        <f t="shared" si="29"/>
        <v>0</v>
      </c>
      <c r="G63" s="469">
        <f t="shared" si="29"/>
        <v>0</v>
      </c>
      <c r="H63" s="486">
        <f t="shared" si="29"/>
        <v>0</v>
      </c>
      <c r="I63" s="487">
        <f t="shared" si="29"/>
        <v>100932.6435994481</v>
      </c>
      <c r="J63" s="469">
        <f t="shared" si="29"/>
        <v>103960.62290743155</v>
      </c>
      <c r="K63" s="486">
        <f t="shared" si="29"/>
        <v>107079.44159465448</v>
      </c>
      <c r="L63" s="486">
        <f t="shared" si="29"/>
        <v>110291.82484249411</v>
      </c>
      <c r="M63" s="487">
        <f t="shared" si="29"/>
        <v>113600.57958776894</v>
      </c>
    </row>
    <row r="64" spans="1:13" s="296" customFormat="1">
      <c r="A64" s="66" t="s">
        <v>388</v>
      </c>
      <c r="B64" s="68"/>
      <c r="C64" s="228"/>
      <c r="D64" s="139"/>
      <c r="E64" s="346"/>
      <c r="F64" s="346"/>
      <c r="G64" s="67"/>
      <c r="H64" s="77"/>
      <c r="I64" s="122"/>
      <c r="J64" s="67"/>
      <c r="K64" s="77"/>
      <c r="L64" s="77"/>
      <c r="M64" s="122"/>
    </row>
    <row r="65" spans="1:13" s="296" customFormat="1">
      <c r="A65" s="67" t="s">
        <v>11</v>
      </c>
      <c r="B65" s="138">
        <v>0.03</v>
      </c>
      <c r="C65" s="313"/>
      <c r="D65" s="67"/>
      <c r="E65" s="77"/>
      <c r="F65" s="77"/>
      <c r="G65" s="67"/>
      <c r="H65" s="77"/>
      <c r="I65" s="122"/>
      <c r="J65" s="67"/>
      <c r="K65" s="77"/>
      <c r="L65" s="77"/>
      <c r="M65" s="122"/>
    </row>
    <row r="66" spans="1:13" s="296" customFormat="1">
      <c r="A66" s="67" t="s">
        <v>28</v>
      </c>
      <c r="B66" s="68"/>
      <c r="C66" s="350">
        <v>0</v>
      </c>
      <c r="D66" s="230">
        <f>C66</f>
        <v>0</v>
      </c>
      <c r="E66" s="203">
        <f>D66</f>
        <v>0</v>
      </c>
      <c r="F66" s="203">
        <f>C145</f>
        <v>0</v>
      </c>
      <c r="G66" s="230">
        <f t="shared" ref="G66:L66" si="30">F66</f>
        <v>0</v>
      </c>
      <c r="H66" s="203">
        <f>G66</f>
        <v>0</v>
      </c>
      <c r="I66" s="208">
        <f t="shared" si="30"/>
        <v>0</v>
      </c>
      <c r="J66" s="230">
        <f t="shared" si="30"/>
        <v>0</v>
      </c>
      <c r="K66" s="203">
        <f t="shared" si="30"/>
        <v>0</v>
      </c>
      <c r="L66" s="203">
        <f t="shared" si="30"/>
        <v>0</v>
      </c>
      <c r="M66" s="208">
        <f>C109</f>
        <v>818.53437499999995</v>
      </c>
    </row>
    <row r="67" spans="1:13" s="296" customFormat="1">
      <c r="A67" s="67" t="s">
        <v>84</v>
      </c>
      <c r="B67" s="68"/>
      <c r="C67" s="350">
        <v>0</v>
      </c>
      <c r="D67" s="230">
        <f>C67</f>
        <v>0</v>
      </c>
      <c r="E67" s="203">
        <f>D67</f>
        <v>0</v>
      </c>
      <c r="F67" s="203">
        <f>D145</f>
        <v>0</v>
      </c>
      <c r="G67" s="230">
        <f t="shared" ref="G67:L67" si="31">F67</f>
        <v>0</v>
      </c>
      <c r="H67" s="203">
        <f>G67</f>
        <v>0</v>
      </c>
      <c r="I67" s="208">
        <f t="shared" si="31"/>
        <v>0</v>
      </c>
      <c r="J67" s="230">
        <f t="shared" si="31"/>
        <v>0</v>
      </c>
      <c r="K67" s="203">
        <f t="shared" si="31"/>
        <v>0</v>
      </c>
      <c r="L67" s="203">
        <f t="shared" si="31"/>
        <v>0</v>
      </c>
      <c r="M67" s="208">
        <f>D109</f>
        <v>261931</v>
      </c>
    </row>
    <row r="68" spans="1:13" s="296" customFormat="1">
      <c r="A68" s="192" t="s">
        <v>19</v>
      </c>
      <c r="B68" s="68"/>
      <c r="C68" s="399">
        <f>C49</f>
        <v>215</v>
      </c>
      <c r="D68" s="480">
        <f t="shared" ref="D68:M68" si="32">D49</f>
        <v>221.45000000000002</v>
      </c>
      <c r="E68" s="379">
        <f t="shared" si="32"/>
        <v>228.09349999999998</v>
      </c>
      <c r="F68" s="379">
        <f t="shared" si="32"/>
        <v>234.936305</v>
      </c>
      <c r="G68" s="480">
        <f t="shared" si="32"/>
        <v>241.98439414999999</v>
      </c>
      <c r="H68" s="379">
        <f t="shared" si="32"/>
        <v>249.24392597449997</v>
      </c>
      <c r="I68" s="451">
        <f t="shared" si="32"/>
        <v>256.721243753735</v>
      </c>
      <c r="J68" s="480">
        <f t="shared" si="32"/>
        <v>264.42288106634703</v>
      </c>
      <c r="K68" s="379">
        <f t="shared" si="32"/>
        <v>272.35556749833745</v>
      </c>
      <c r="L68" s="379">
        <f t="shared" si="32"/>
        <v>280.52623452328754</v>
      </c>
      <c r="M68" s="451">
        <f t="shared" si="32"/>
        <v>288.9420215589862</v>
      </c>
    </row>
    <row r="69" spans="1:13" s="296" customFormat="1">
      <c r="A69" s="192" t="s">
        <v>20</v>
      </c>
      <c r="B69" s="68"/>
      <c r="C69" s="237">
        <v>0.6</v>
      </c>
      <c r="D69" s="287"/>
      <c r="E69" s="119"/>
      <c r="F69" s="119"/>
      <c r="G69" s="287"/>
      <c r="H69" s="119"/>
      <c r="I69" s="238"/>
      <c r="J69" s="287"/>
      <c r="K69" s="119"/>
      <c r="L69" s="119"/>
      <c r="M69" s="238"/>
    </row>
    <row r="70" spans="1:13" s="296" customFormat="1">
      <c r="A70" s="192" t="s">
        <v>21</v>
      </c>
      <c r="B70" s="68"/>
      <c r="C70" s="237">
        <v>0.6</v>
      </c>
      <c r="D70" s="287"/>
      <c r="E70" s="119"/>
      <c r="F70" s="119"/>
      <c r="G70" s="287"/>
      <c r="H70" s="119"/>
      <c r="I70" s="238"/>
      <c r="J70" s="287"/>
      <c r="K70" s="119"/>
      <c r="L70" s="119"/>
      <c r="M70" s="238"/>
    </row>
    <row r="71" spans="1:13" s="296" customFormat="1">
      <c r="A71" s="192" t="s">
        <v>22</v>
      </c>
      <c r="B71" s="68"/>
      <c r="C71" s="488">
        <f>52*2</f>
        <v>104</v>
      </c>
      <c r="D71" s="228"/>
      <c r="E71" s="68"/>
      <c r="F71" s="68"/>
      <c r="G71" s="228"/>
      <c r="H71" s="68"/>
      <c r="I71" s="200"/>
      <c r="J71" s="228"/>
      <c r="K71" s="68"/>
      <c r="L71" s="68"/>
      <c r="M71" s="200"/>
    </row>
    <row r="72" spans="1:13" s="296" customFormat="1">
      <c r="A72" s="192" t="s">
        <v>23</v>
      </c>
      <c r="B72" s="68"/>
      <c r="C72" s="488">
        <v>24</v>
      </c>
      <c r="D72" s="228"/>
      <c r="E72" s="68"/>
      <c r="F72" s="68"/>
      <c r="G72" s="228"/>
      <c r="H72" s="68"/>
      <c r="I72" s="200"/>
      <c r="J72" s="228"/>
      <c r="K72" s="68"/>
      <c r="L72" s="68"/>
      <c r="M72" s="200"/>
    </row>
    <row r="73" spans="1:13" s="296" customFormat="1">
      <c r="A73" s="192" t="s">
        <v>24</v>
      </c>
      <c r="B73" s="68"/>
      <c r="C73" s="237">
        <v>0.3</v>
      </c>
      <c r="D73" s="287"/>
      <c r="E73" s="119"/>
      <c r="F73" s="119"/>
      <c r="G73" s="287"/>
      <c r="H73" s="119"/>
      <c r="I73" s="238"/>
      <c r="J73" s="287"/>
      <c r="K73" s="119"/>
      <c r="L73" s="119"/>
      <c r="M73" s="238"/>
    </row>
    <row r="74" spans="1:13" s="296" customFormat="1">
      <c r="A74" s="192" t="s">
        <v>25</v>
      </c>
      <c r="B74" s="68"/>
      <c r="C74" s="228">
        <f>365-C71</f>
        <v>261</v>
      </c>
      <c r="D74" s="228"/>
      <c r="E74" s="68"/>
      <c r="F74" s="68"/>
      <c r="G74" s="228"/>
      <c r="H74" s="68"/>
      <c r="I74" s="200"/>
      <c r="J74" s="228"/>
      <c r="K74" s="68"/>
      <c r="L74" s="68"/>
      <c r="M74" s="200"/>
    </row>
    <row r="75" spans="1:13" s="296" customFormat="1">
      <c r="A75" s="192" t="s">
        <v>23</v>
      </c>
      <c r="B75" s="68"/>
      <c r="C75" s="488">
        <v>24</v>
      </c>
      <c r="D75" s="228"/>
      <c r="E75" s="68"/>
      <c r="F75" s="68"/>
      <c r="G75" s="228"/>
      <c r="H75" s="68"/>
      <c r="I75" s="200"/>
      <c r="J75" s="228"/>
      <c r="K75" s="68"/>
      <c r="L75" s="68"/>
      <c r="M75" s="200"/>
    </row>
    <row r="76" spans="1:13" s="296" customFormat="1">
      <c r="A76" s="192" t="s">
        <v>24</v>
      </c>
      <c r="B76" s="68"/>
      <c r="C76" s="237">
        <v>0.3</v>
      </c>
      <c r="D76" s="287"/>
      <c r="E76" s="119"/>
      <c r="F76" s="119"/>
      <c r="G76" s="287"/>
      <c r="H76" s="119"/>
      <c r="I76" s="238"/>
      <c r="J76" s="287"/>
      <c r="K76" s="119"/>
      <c r="L76" s="119"/>
      <c r="M76" s="238"/>
    </row>
    <row r="77" spans="1:13" s="478" customFormat="1">
      <c r="A77" s="192" t="s">
        <v>26</v>
      </c>
      <c r="B77" s="68"/>
      <c r="C77" s="468">
        <f>C58</f>
        <v>4</v>
      </c>
      <c r="D77" s="480">
        <f t="shared" ref="D77:M77" si="33">$C$20*(1+$B65)^D$4</f>
        <v>4.12</v>
      </c>
      <c r="E77" s="379">
        <f t="shared" si="33"/>
        <v>4.2435999999999998</v>
      </c>
      <c r="F77" s="379">
        <f t="shared" si="33"/>
        <v>4.370908</v>
      </c>
      <c r="G77" s="480">
        <f t="shared" si="33"/>
        <v>4.5020352399999997</v>
      </c>
      <c r="H77" s="379">
        <f t="shared" si="33"/>
        <v>4.6370962971999994</v>
      </c>
      <c r="I77" s="451">
        <f t="shared" si="33"/>
        <v>4.7762091861159996</v>
      </c>
      <c r="J77" s="480">
        <f t="shared" si="33"/>
        <v>4.9194954616994799</v>
      </c>
      <c r="K77" s="379">
        <f t="shared" si="33"/>
        <v>5.0670803255504637</v>
      </c>
      <c r="L77" s="379">
        <f t="shared" si="33"/>
        <v>5.2190927353169778</v>
      </c>
      <c r="M77" s="451">
        <f t="shared" si="33"/>
        <v>5.3756655173764871</v>
      </c>
    </row>
    <row r="78" spans="1:13" s="296" customFormat="1" ht="13.5" thickBot="1">
      <c r="A78" s="150" t="s">
        <v>187</v>
      </c>
      <c r="B78" s="71"/>
      <c r="C78" s="489">
        <v>0.5</v>
      </c>
      <c r="D78" s="482">
        <f t="shared" ref="D78:M78" si="34">$C$21*(1+$B65)^D$4</f>
        <v>0.51500000000000001</v>
      </c>
      <c r="E78" s="481">
        <f t="shared" si="34"/>
        <v>0.53044999999999998</v>
      </c>
      <c r="F78" s="481">
        <f t="shared" si="34"/>
        <v>0.5463635</v>
      </c>
      <c r="G78" s="482">
        <f t="shared" si="34"/>
        <v>0.56275440499999996</v>
      </c>
      <c r="H78" s="481">
        <f t="shared" si="34"/>
        <v>0.57963703714999992</v>
      </c>
      <c r="I78" s="452">
        <f t="shared" si="34"/>
        <v>0.59702614826449996</v>
      </c>
      <c r="J78" s="482">
        <f t="shared" si="34"/>
        <v>0.61493693271243499</v>
      </c>
      <c r="K78" s="481">
        <f t="shared" si="34"/>
        <v>0.63338504069380797</v>
      </c>
      <c r="L78" s="481">
        <f t="shared" si="34"/>
        <v>0.65238659191462223</v>
      </c>
      <c r="M78" s="452">
        <f t="shared" si="34"/>
        <v>0.67195818967206089</v>
      </c>
    </row>
    <row r="79" spans="1:13" s="296" customFormat="1" outlineLevel="1">
      <c r="A79" s="352" t="s">
        <v>188</v>
      </c>
      <c r="B79" s="222"/>
      <c r="C79" s="265">
        <f>C66*C68*$C70*12</f>
        <v>0</v>
      </c>
      <c r="D79" s="473">
        <f t="shared" ref="D79:M79" si="35">D66*D68*$C70*12</f>
        <v>0</v>
      </c>
      <c r="E79" s="484">
        <f t="shared" si="35"/>
        <v>0</v>
      </c>
      <c r="F79" s="484">
        <f t="shared" si="35"/>
        <v>0</v>
      </c>
      <c r="G79" s="473">
        <f t="shared" si="35"/>
        <v>0</v>
      </c>
      <c r="H79" s="484">
        <f t="shared" si="35"/>
        <v>0</v>
      </c>
      <c r="I79" s="485">
        <f t="shared" si="35"/>
        <v>0</v>
      </c>
      <c r="J79" s="473">
        <f t="shared" si="35"/>
        <v>0</v>
      </c>
      <c r="K79" s="484">
        <f t="shared" si="35"/>
        <v>0</v>
      </c>
      <c r="L79" s="484">
        <f t="shared" si="35"/>
        <v>0</v>
      </c>
      <c r="M79" s="485">
        <f t="shared" si="35"/>
        <v>1702864.6346017532</v>
      </c>
    </row>
    <row r="80" spans="1:13" s="296" customFormat="1" outlineLevel="1">
      <c r="A80" s="192" t="s">
        <v>189</v>
      </c>
      <c r="B80" s="68"/>
      <c r="C80" s="155">
        <f>(C66*$C71*$C72*$C73*C77)+(C66*$C74*$C75*$C76*C77)</f>
        <v>0</v>
      </c>
      <c r="D80" s="271">
        <f t="shared" ref="D80:M80" si="36">(D66*$C71*$C72*$C73*D77)+(D66*$C74*$C75*$C76*D77)</f>
        <v>0</v>
      </c>
      <c r="E80" s="250">
        <f t="shared" si="36"/>
        <v>0</v>
      </c>
      <c r="F80" s="250">
        <f t="shared" si="36"/>
        <v>0</v>
      </c>
      <c r="G80" s="271">
        <f t="shared" si="36"/>
        <v>0</v>
      </c>
      <c r="H80" s="250">
        <f t="shared" si="36"/>
        <v>0</v>
      </c>
      <c r="I80" s="272">
        <f t="shared" si="36"/>
        <v>0</v>
      </c>
      <c r="J80" s="271">
        <f t="shared" si="36"/>
        <v>0</v>
      </c>
      <c r="K80" s="250">
        <f t="shared" si="36"/>
        <v>0</v>
      </c>
      <c r="L80" s="250">
        <f t="shared" si="36"/>
        <v>0</v>
      </c>
      <c r="M80" s="272">
        <f t="shared" si="36"/>
        <v>11563638.914039809</v>
      </c>
    </row>
    <row r="81" spans="1:13" s="296" customFormat="1" outlineLevel="1">
      <c r="A81" s="192" t="s">
        <v>190</v>
      </c>
      <c r="B81" s="68"/>
      <c r="C81" s="159">
        <v>0</v>
      </c>
      <c r="D81" s="156">
        <f>C81</f>
        <v>0</v>
      </c>
      <c r="E81" s="157">
        <f>D81</f>
        <v>0</v>
      </c>
      <c r="F81" s="157">
        <f>E81</f>
        <v>0</v>
      </c>
      <c r="G81" s="156">
        <f t="shared" ref="G81:M81" si="37">F81</f>
        <v>0</v>
      </c>
      <c r="H81" s="157">
        <f t="shared" si="37"/>
        <v>0</v>
      </c>
      <c r="I81" s="158">
        <f t="shared" si="37"/>
        <v>0</v>
      </c>
      <c r="J81" s="156">
        <f t="shared" si="37"/>
        <v>0</v>
      </c>
      <c r="K81" s="157">
        <f t="shared" si="37"/>
        <v>0</v>
      </c>
      <c r="L81" s="157">
        <f t="shared" si="37"/>
        <v>0</v>
      </c>
      <c r="M81" s="158">
        <f t="shared" si="37"/>
        <v>0</v>
      </c>
    </row>
    <row r="82" spans="1:13" s="296" customFormat="1" ht="13.5" outlineLevel="1" thickBot="1">
      <c r="A82" s="150" t="s">
        <v>184</v>
      </c>
      <c r="B82" s="71"/>
      <c r="C82" s="490">
        <f>C67*C78</f>
        <v>0</v>
      </c>
      <c r="D82" s="469">
        <f t="shared" ref="D82:M82" si="38">D67*D78</f>
        <v>0</v>
      </c>
      <c r="E82" s="486">
        <f t="shared" si="38"/>
        <v>0</v>
      </c>
      <c r="F82" s="486">
        <f t="shared" si="38"/>
        <v>0</v>
      </c>
      <c r="G82" s="469">
        <f t="shared" si="38"/>
        <v>0</v>
      </c>
      <c r="H82" s="486">
        <f t="shared" si="38"/>
        <v>0</v>
      </c>
      <c r="I82" s="487">
        <f t="shared" si="38"/>
        <v>0</v>
      </c>
      <c r="J82" s="469">
        <f t="shared" si="38"/>
        <v>0</v>
      </c>
      <c r="K82" s="486">
        <f t="shared" si="38"/>
        <v>0</v>
      </c>
      <c r="L82" s="486">
        <f t="shared" si="38"/>
        <v>0</v>
      </c>
      <c r="M82" s="487">
        <f t="shared" si="38"/>
        <v>176006.68057899259</v>
      </c>
    </row>
    <row r="83" spans="1:13" s="296" customFormat="1" ht="13.5" thickBot="1">
      <c r="A83" s="217" t="s">
        <v>0</v>
      </c>
      <c r="B83" s="214"/>
      <c r="C83" s="223"/>
      <c r="D83" s="264"/>
      <c r="E83" s="220"/>
      <c r="F83" s="221"/>
      <c r="G83" s="264"/>
      <c r="H83" s="220"/>
      <c r="I83" s="221"/>
      <c r="J83" s="264"/>
      <c r="K83" s="220"/>
      <c r="L83" s="220"/>
      <c r="M83" s="221"/>
    </row>
    <row r="84" spans="1:13" s="296" customFormat="1">
      <c r="A84" s="352" t="s">
        <v>188</v>
      </c>
      <c r="B84" s="68"/>
      <c r="C84" s="154">
        <f>SUM(C22,C41,C60,C79)</f>
        <v>0</v>
      </c>
      <c r="D84" s="491">
        <f t="shared" ref="D84:M84" si="39">SUM(D22,D41,D60,D79)</f>
        <v>0</v>
      </c>
      <c r="E84" s="492">
        <f t="shared" si="39"/>
        <v>1580469.8405906246</v>
      </c>
      <c r="F84" s="493">
        <f t="shared" si="39"/>
        <v>1627883.9358083436</v>
      </c>
      <c r="G84" s="491">
        <f t="shared" si="39"/>
        <v>1676720.4538825939</v>
      </c>
      <c r="H84" s="492">
        <f t="shared" si="39"/>
        <v>4618181.1973941838</v>
      </c>
      <c r="I84" s="493">
        <f t="shared" si="39"/>
        <v>5733249.9601406706</v>
      </c>
      <c r="J84" s="491">
        <f t="shared" si="39"/>
        <v>5905247.4589448897</v>
      </c>
      <c r="K84" s="492">
        <f t="shared" si="39"/>
        <v>6082404.8827132359</v>
      </c>
      <c r="L84" s="492">
        <f t="shared" si="39"/>
        <v>6264877.0291946325</v>
      </c>
      <c r="M84" s="493">
        <f t="shared" si="39"/>
        <v>8155687.9746722253</v>
      </c>
    </row>
    <row r="85" spans="1:13" s="296" customFormat="1">
      <c r="A85" s="192" t="s">
        <v>189</v>
      </c>
      <c r="B85" s="68"/>
      <c r="C85" s="155">
        <f>SUM(C23,C42,C61,C80)</f>
        <v>0</v>
      </c>
      <c r="D85" s="156">
        <f t="shared" ref="D85:M85" si="40">SUM(D23,D42,D61,D80)</f>
        <v>0</v>
      </c>
      <c r="E85" s="157">
        <f t="shared" si="40"/>
        <v>10732492.870987499</v>
      </c>
      <c r="F85" s="158">
        <f t="shared" si="40"/>
        <v>11054467.657117125</v>
      </c>
      <c r="G85" s="156">
        <f t="shared" si="40"/>
        <v>11386101.686830636</v>
      </c>
      <c r="H85" s="157">
        <f t="shared" si="40"/>
        <v>31360672.317188412</v>
      </c>
      <c r="I85" s="158">
        <f t="shared" si="40"/>
        <v>34511917.381531984</v>
      </c>
      <c r="J85" s="156">
        <f t="shared" si="40"/>
        <v>35547274.902977936</v>
      </c>
      <c r="K85" s="157">
        <f t="shared" si="40"/>
        <v>36613693.150067277</v>
      </c>
      <c r="L85" s="157">
        <f t="shared" si="40"/>
        <v>37712103.94456929</v>
      </c>
      <c r="M85" s="158">
        <f t="shared" si="40"/>
        <v>50407105.976946175</v>
      </c>
    </row>
    <row r="86" spans="1:13" s="296" customFormat="1">
      <c r="A86" s="192" t="s">
        <v>390</v>
      </c>
      <c r="B86" s="68"/>
      <c r="C86" s="155">
        <f>-SUM(C24,C43,C62,C81)</f>
        <v>0</v>
      </c>
      <c r="D86" s="156">
        <f t="shared" ref="D86:M86" si="41">-SUM(D24,D43,D62,D81)</f>
        <v>0</v>
      </c>
      <c r="E86" s="157">
        <f t="shared" si="41"/>
        <v>0</v>
      </c>
      <c r="F86" s="158">
        <f t="shared" si="41"/>
        <v>0</v>
      </c>
      <c r="G86" s="156">
        <f t="shared" si="41"/>
        <v>0</v>
      </c>
      <c r="H86" s="157">
        <f t="shared" si="41"/>
        <v>0</v>
      </c>
      <c r="I86" s="158">
        <f t="shared" si="41"/>
        <v>0</v>
      </c>
      <c r="J86" s="156">
        <f t="shared" si="41"/>
        <v>0</v>
      </c>
      <c r="K86" s="157">
        <f t="shared" si="41"/>
        <v>0</v>
      </c>
      <c r="L86" s="157">
        <f t="shared" si="41"/>
        <v>0</v>
      </c>
      <c r="M86" s="158">
        <f t="shared" si="41"/>
        <v>0</v>
      </c>
    </row>
    <row r="87" spans="1:13" s="296" customFormat="1">
      <c r="A87" s="494" t="s">
        <v>133</v>
      </c>
      <c r="B87" s="259"/>
      <c r="C87" s="285">
        <f>-SUM(C25,C44,C63,C82)</f>
        <v>0</v>
      </c>
      <c r="D87" s="166">
        <f t="shared" ref="D87:M87" si="42">-SUM(D25,D44,D63,D82)</f>
        <v>0</v>
      </c>
      <c r="E87" s="167">
        <f t="shared" si="42"/>
        <v>-163356.05587499999</v>
      </c>
      <c r="F87" s="168">
        <f t="shared" si="42"/>
        <v>-168256.73755125</v>
      </c>
      <c r="G87" s="166">
        <f t="shared" si="42"/>
        <v>-173304.43967778748</v>
      </c>
      <c r="H87" s="167">
        <f t="shared" si="42"/>
        <v>-477331.38991154352</v>
      </c>
      <c r="I87" s="168">
        <f t="shared" si="42"/>
        <v>-592583.975208338</v>
      </c>
      <c r="J87" s="166">
        <f t="shared" si="42"/>
        <v>-610361.49446458812</v>
      </c>
      <c r="K87" s="167">
        <f t="shared" si="42"/>
        <v>-628672.33929852571</v>
      </c>
      <c r="L87" s="167">
        <f t="shared" si="42"/>
        <v>-647532.50947748136</v>
      </c>
      <c r="M87" s="168">
        <f t="shared" si="42"/>
        <v>-842965.16534079856</v>
      </c>
    </row>
    <row r="88" spans="1:13" s="296" customFormat="1" ht="13.5" thickBot="1">
      <c r="A88" s="126" t="s">
        <v>5</v>
      </c>
      <c r="B88" s="71"/>
      <c r="C88" s="281">
        <f>SUM(C84:C87)</f>
        <v>0</v>
      </c>
      <c r="D88" s="282">
        <f t="shared" ref="D88:M88" si="43">SUM(D84:D87)</f>
        <v>0</v>
      </c>
      <c r="E88" s="256">
        <f t="shared" si="43"/>
        <v>12149606.655703124</v>
      </c>
      <c r="F88" s="257">
        <f t="shared" si="43"/>
        <v>12514094.855374219</v>
      </c>
      <c r="G88" s="282">
        <f t="shared" si="43"/>
        <v>12889517.701035442</v>
      </c>
      <c r="H88" s="256">
        <f t="shared" si="43"/>
        <v>35501522.124671057</v>
      </c>
      <c r="I88" s="257">
        <f t="shared" si="43"/>
        <v>39652583.366464317</v>
      </c>
      <c r="J88" s="282">
        <f t="shared" si="43"/>
        <v>40842160.867458232</v>
      </c>
      <c r="K88" s="256">
        <f t="shared" si="43"/>
        <v>42067425.693481989</v>
      </c>
      <c r="L88" s="256">
        <f t="shared" si="43"/>
        <v>43329448.464286439</v>
      </c>
      <c r="M88" s="257">
        <f t="shared" si="43"/>
        <v>57719828.786277607</v>
      </c>
    </row>
    <row r="89" spans="1:13" s="296" customFormat="1" ht="13.5" thickBot="1">
      <c r="A89" s="217" t="s">
        <v>2</v>
      </c>
      <c r="B89" s="214"/>
      <c r="C89" s="223"/>
      <c r="D89" s="264"/>
      <c r="E89" s="220"/>
      <c r="F89" s="221"/>
      <c r="G89" s="264"/>
      <c r="H89" s="220"/>
      <c r="I89" s="221"/>
      <c r="J89" s="264"/>
      <c r="K89" s="220"/>
      <c r="L89" s="220"/>
      <c r="M89" s="221"/>
    </row>
    <row r="90" spans="1:13" s="296" customFormat="1">
      <c r="A90" s="192" t="s">
        <v>118</v>
      </c>
      <c r="B90" s="68"/>
      <c r="C90" s="239">
        <f>'Summary Board'!F103</f>
        <v>47.895000000000003</v>
      </c>
      <c r="D90" s="231">
        <f>$C$90*(1+$B$8)^D4</f>
        <v>49.331850000000003</v>
      </c>
      <c r="E90" s="218">
        <f t="shared" ref="E90:M90" si="44">$C$90*(1+$B$8)^E4</f>
        <v>50.811805499999998</v>
      </c>
      <c r="F90" s="219">
        <f t="shared" si="44"/>
        <v>52.336159665000004</v>
      </c>
      <c r="G90" s="231">
        <f t="shared" si="44"/>
        <v>53.906244454949999</v>
      </c>
      <c r="H90" s="218">
        <f t="shared" si="44"/>
        <v>55.523431788598494</v>
      </c>
      <c r="I90" s="219">
        <f t="shared" si="44"/>
        <v>57.189134742256456</v>
      </c>
      <c r="J90" s="231">
        <f t="shared" si="44"/>
        <v>58.90480878452415</v>
      </c>
      <c r="K90" s="218">
        <f t="shared" si="44"/>
        <v>60.671953048059869</v>
      </c>
      <c r="L90" s="218">
        <f t="shared" si="44"/>
        <v>62.492111639501665</v>
      </c>
      <c r="M90" s="219">
        <f t="shared" si="44"/>
        <v>64.366874988686718</v>
      </c>
    </row>
    <row r="91" spans="1:13" s="296" customFormat="1">
      <c r="A91" s="192" t="s">
        <v>13</v>
      </c>
      <c r="B91" s="68"/>
      <c r="C91" s="277">
        <f>C92/SUM($C$92:$M$92)</f>
        <v>0</v>
      </c>
      <c r="D91" s="278">
        <f t="shared" ref="D91:M91" si="45">D92/SUM($C$92:$M$92)</f>
        <v>0.12138270085077194</v>
      </c>
      <c r="E91" s="205">
        <f t="shared" si="45"/>
        <v>0.10299095565462824</v>
      </c>
      <c r="F91" s="261">
        <f t="shared" si="45"/>
        <v>0</v>
      </c>
      <c r="G91" s="278">
        <f t="shared" si="45"/>
        <v>0.40496010319032461</v>
      </c>
      <c r="H91" s="205">
        <f t="shared" si="45"/>
        <v>0.13678008349994211</v>
      </c>
      <c r="I91" s="261">
        <f t="shared" si="45"/>
        <v>0</v>
      </c>
      <c r="J91" s="278">
        <f t="shared" si="45"/>
        <v>0</v>
      </c>
      <c r="K91" s="205">
        <f t="shared" si="45"/>
        <v>0.1543803015210119</v>
      </c>
      <c r="L91" s="205">
        <f t="shared" si="45"/>
        <v>7.9505855283321131E-2</v>
      </c>
      <c r="M91" s="261">
        <f t="shared" si="45"/>
        <v>0</v>
      </c>
    </row>
    <row r="92" spans="1:13" s="296" customFormat="1">
      <c r="A92" s="192" t="s">
        <v>2</v>
      </c>
      <c r="B92" s="68"/>
      <c r="C92" s="176">
        <f>'Development Schedule'!D84*C90</f>
        <v>0</v>
      </c>
      <c r="D92" s="331">
        <f>'Development Schedule'!E84*D90</f>
        <v>8330067.6609300002</v>
      </c>
      <c r="E92" s="332">
        <f>'Development Schedule'!F84*E90</f>
        <v>7067906.9015083499</v>
      </c>
      <c r="F92" s="333">
        <f>'Development Schedule'!G84*F90</f>
        <v>0</v>
      </c>
      <c r="G92" s="331">
        <f>'Development Schedule'!H84*G90</f>
        <v>27790986.985038288</v>
      </c>
      <c r="H92" s="332">
        <f>'Development Schedule'!I84*H90</f>
        <v>9386735.8547486719</v>
      </c>
      <c r="I92" s="333">
        <f>'Development Schedule'!J84*I90</f>
        <v>0</v>
      </c>
      <c r="J92" s="331">
        <f>'Development Schedule'!K84*J90</f>
        <v>0</v>
      </c>
      <c r="K92" s="332">
        <f>'Development Schedule'!L84*K90</f>
        <v>10594576.889220912</v>
      </c>
      <c r="L92" s="332">
        <f>'Development Schedule'!M84*L90</f>
        <v>5456207.09794877</v>
      </c>
      <c r="M92" s="333">
        <f>'Development Schedule'!N84*M90</f>
        <v>0</v>
      </c>
    </row>
    <row r="93" spans="1:13" s="296" customFormat="1">
      <c r="A93" s="254" t="s">
        <v>14</v>
      </c>
      <c r="B93" s="259"/>
      <c r="C93" s="184"/>
      <c r="D93" s="280"/>
      <c r="E93" s="260"/>
      <c r="F93" s="263"/>
      <c r="G93" s="280"/>
      <c r="H93" s="260"/>
      <c r="I93" s="263"/>
      <c r="J93" s="280"/>
      <c r="K93" s="260"/>
      <c r="L93" s="260"/>
      <c r="M93" s="263"/>
    </row>
    <row r="94" spans="1:13" s="296" customFormat="1" ht="13.5" thickBot="1">
      <c r="A94" s="889" t="s">
        <v>3</v>
      </c>
      <c r="B94" s="71"/>
      <c r="C94" s="282">
        <f>SUM(C92:C93)</f>
        <v>0</v>
      </c>
      <c r="D94" s="282">
        <f t="shared" ref="D94:M94" si="46">SUM(D92:D93)</f>
        <v>8330067.6609300002</v>
      </c>
      <c r="E94" s="256">
        <f t="shared" si="46"/>
        <v>7067906.9015083499</v>
      </c>
      <c r="F94" s="257">
        <f t="shared" si="46"/>
        <v>0</v>
      </c>
      <c r="G94" s="282">
        <f t="shared" si="46"/>
        <v>27790986.985038288</v>
      </c>
      <c r="H94" s="256">
        <f t="shared" si="46"/>
        <v>9386735.8547486719</v>
      </c>
      <c r="I94" s="257">
        <f t="shared" si="46"/>
        <v>0</v>
      </c>
      <c r="J94" s="282">
        <f t="shared" si="46"/>
        <v>0</v>
      </c>
      <c r="K94" s="256">
        <f t="shared" si="46"/>
        <v>10594576.889220912</v>
      </c>
      <c r="L94" s="256">
        <f t="shared" si="46"/>
        <v>5456207.09794877</v>
      </c>
      <c r="M94" s="257">
        <f t="shared" si="46"/>
        <v>0</v>
      </c>
    </row>
    <row r="95" spans="1:13" s="296" customFormat="1" ht="13.5" thickBot="1">
      <c r="A95" s="217" t="s">
        <v>4</v>
      </c>
      <c r="B95" s="214"/>
      <c r="C95" s="223"/>
      <c r="D95" s="264"/>
      <c r="E95" s="220"/>
      <c r="F95" s="221"/>
      <c r="G95" s="264"/>
      <c r="H95" s="220"/>
      <c r="I95" s="221"/>
      <c r="J95" s="264"/>
      <c r="K95" s="220"/>
      <c r="L95" s="220"/>
      <c r="M95" s="221"/>
    </row>
    <row r="96" spans="1:13" s="296" customFormat="1">
      <c r="A96" s="192" t="s">
        <v>5</v>
      </c>
      <c r="B96" s="68"/>
      <c r="C96" s="154">
        <f>C88</f>
        <v>0</v>
      </c>
      <c r="D96" s="279">
        <f t="shared" ref="D96:M96" si="47">D88</f>
        <v>0</v>
      </c>
      <c r="E96" s="248">
        <f t="shared" si="47"/>
        <v>12149606.655703124</v>
      </c>
      <c r="F96" s="262">
        <f t="shared" si="47"/>
        <v>12514094.855374219</v>
      </c>
      <c r="G96" s="279">
        <f t="shared" si="47"/>
        <v>12889517.701035442</v>
      </c>
      <c r="H96" s="248">
        <f t="shared" si="47"/>
        <v>35501522.124671057</v>
      </c>
      <c r="I96" s="262">
        <f t="shared" si="47"/>
        <v>39652583.366464317</v>
      </c>
      <c r="J96" s="279">
        <f t="shared" si="47"/>
        <v>40842160.867458232</v>
      </c>
      <c r="K96" s="248">
        <f t="shared" si="47"/>
        <v>42067425.693481989</v>
      </c>
      <c r="L96" s="248">
        <f t="shared" si="47"/>
        <v>43329448.464286439</v>
      </c>
      <c r="M96" s="262">
        <f t="shared" si="47"/>
        <v>57719828.786277607</v>
      </c>
    </row>
    <row r="97" spans="1:13" s="296" customFormat="1">
      <c r="A97" s="192" t="s">
        <v>60</v>
      </c>
      <c r="B97" s="119">
        <f>D113</f>
        <v>0.11</v>
      </c>
      <c r="C97" s="159">
        <v>0</v>
      </c>
      <c r="D97" s="269">
        <f>C97</f>
        <v>0</v>
      </c>
      <c r="E97" s="258">
        <f t="shared" ref="E97:L98" si="48">D97</f>
        <v>0</v>
      </c>
      <c r="F97" s="270">
        <f t="shared" si="48"/>
        <v>0</v>
      </c>
      <c r="G97" s="269">
        <f t="shared" si="48"/>
        <v>0</v>
      </c>
      <c r="H97" s="258">
        <f t="shared" si="48"/>
        <v>0</v>
      </c>
      <c r="I97" s="270">
        <f t="shared" si="48"/>
        <v>0</v>
      </c>
      <c r="J97" s="269">
        <f t="shared" si="48"/>
        <v>0</v>
      </c>
      <c r="K97" s="258">
        <f t="shared" si="48"/>
        <v>0</v>
      </c>
      <c r="L97" s="258">
        <f t="shared" si="48"/>
        <v>0</v>
      </c>
      <c r="M97" s="892">
        <f>M96/B97</f>
        <v>524725716.23888731</v>
      </c>
    </row>
    <row r="98" spans="1:13" s="296" customFormat="1">
      <c r="A98" s="192" t="s">
        <v>61</v>
      </c>
      <c r="B98" s="119">
        <f>D114</f>
        <v>0.03</v>
      </c>
      <c r="C98" s="159">
        <v>0</v>
      </c>
      <c r="D98" s="269">
        <f>C98</f>
        <v>0</v>
      </c>
      <c r="E98" s="258">
        <f t="shared" si="48"/>
        <v>0</v>
      </c>
      <c r="F98" s="270">
        <f t="shared" si="48"/>
        <v>0</v>
      </c>
      <c r="G98" s="269">
        <f t="shared" si="48"/>
        <v>0</v>
      </c>
      <c r="H98" s="258">
        <f t="shared" si="48"/>
        <v>0</v>
      </c>
      <c r="I98" s="270">
        <f t="shared" si="48"/>
        <v>0</v>
      </c>
      <c r="J98" s="269">
        <f t="shared" si="48"/>
        <v>0</v>
      </c>
      <c r="K98" s="258">
        <f t="shared" si="48"/>
        <v>0</v>
      </c>
      <c r="L98" s="258">
        <f t="shared" si="48"/>
        <v>0</v>
      </c>
      <c r="M98" s="270">
        <f>M97*-B98</f>
        <v>-15741771.487166619</v>
      </c>
    </row>
    <row r="99" spans="1:13" s="296" customFormat="1">
      <c r="A99" s="254" t="s">
        <v>119</v>
      </c>
      <c r="B99" s="327"/>
      <c r="C99" s="285">
        <f>-C94</f>
        <v>0</v>
      </c>
      <c r="D99" s="286">
        <f t="shared" ref="D99:M99" si="49">-D94</f>
        <v>-8330067.6609300002</v>
      </c>
      <c r="E99" s="252">
        <f t="shared" si="49"/>
        <v>-7067906.9015083499</v>
      </c>
      <c r="F99" s="255">
        <f t="shared" si="49"/>
        <v>0</v>
      </c>
      <c r="G99" s="286">
        <f t="shared" si="49"/>
        <v>-27790986.985038288</v>
      </c>
      <c r="H99" s="252">
        <f t="shared" si="49"/>
        <v>-9386735.8547486719</v>
      </c>
      <c r="I99" s="255">
        <f t="shared" si="49"/>
        <v>0</v>
      </c>
      <c r="J99" s="286">
        <f t="shared" si="49"/>
        <v>0</v>
      </c>
      <c r="K99" s="252">
        <f t="shared" si="49"/>
        <v>-10594576.889220912</v>
      </c>
      <c r="L99" s="252">
        <f t="shared" si="49"/>
        <v>-5456207.09794877</v>
      </c>
      <c r="M99" s="255">
        <f t="shared" si="49"/>
        <v>0</v>
      </c>
    </row>
    <row r="100" spans="1:13" s="296" customFormat="1" ht="13.5" thickBot="1">
      <c r="A100" s="889" t="s">
        <v>6</v>
      </c>
      <c r="B100" s="128"/>
      <c r="C100" s="281">
        <f>SUM(C96:C99)</f>
        <v>0</v>
      </c>
      <c r="D100" s="282">
        <f t="shared" ref="D100:M100" si="50">SUM(D96:D99)</f>
        <v>-8330067.6609300002</v>
      </c>
      <c r="E100" s="256">
        <f t="shared" si="50"/>
        <v>5081699.7541947737</v>
      </c>
      <c r="F100" s="257">
        <f t="shared" si="50"/>
        <v>12514094.855374219</v>
      </c>
      <c r="G100" s="282">
        <f t="shared" si="50"/>
        <v>-14901469.284002846</v>
      </c>
      <c r="H100" s="256">
        <f t="shared" si="50"/>
        <v>26114786.269922383</v>
      </c>
      <c r="I100" s="257">
        <f t="shared" si="50"/>
        <v>39652583.366464317</v>
      </c>
      <c r="J100" s="282">
        <f t="shared" si="50"/>
        <v>40842160.867458232</v>
      </c>
      <c r="K100" s="256">
        <f t="shared" si="50"/>
        <v>31472848.804261077</v>
      </c>
      <c r="L100" s="256">
        <f t="shared" si="50"/>
        <v>37873241.366337672</v>
      </c>
      <c r="M100" s="257">
        <f t="shared" si="50"/>
        <v>566703773.53799832</v>
      </c>
    </row>
    <row r="101" spans="1:13" s="296" customFormat="1" ht="13.5" thickBot="1">
      <c r="A101" s="125" t="s">
        <v>27</v>
      </c>
      <c r="B101" s="116"/>
      <c r="C101" s="409">
        <f>C100+NPV(D113,D100:M100)</f>
        <v>280370474.54131997</v>
      </c>
      <c r="D101" s="406"/>
      <c r="E101" s="407"/>
      <c r="F101" s="408"/>
      <c r="G101" s="406"/>
      <c r="H101" s="407"/>
      <c r="I101" s="408"/>
      <c r="J101" s="118"/>
      <c r="K101" s="118"/>
      <c r="L101" s="118"/>
      <c r="M101" s="207"/>
    </row>
    <row r="102" spans="1:13" ht="13.5" thickBot="1">
      <c r="A102" s="91" t="s">
        <v>62</v>
      </c>
      <c r="B102" s="169"/>
      <c r="C102" s="292">
        <f>IRR(C100:M100,1)</f>
        <v>1.0314434972332234</v>
      </c>
      <c r="D102" s="273"/>
      <c r="E102" s="169"/>
      <c r="F102" s="191"/>
      <c r="G102" s="273"/>
      <c r="H102" s="169"/>
      <c r="I102" s="191"/>
      <c r="J102" s="169"/>
      <c r="K102" s="169"/>
      <c r="L102" s="169"/>
      <c r="M102" s="191"/>
    </row>
    <row r="103" spans="1:13" ht="13.5" thickBot="1">
      <c r="A103" s="91"/>
      <c r="B103" s="169"/>
      <c r="C103" s="431"/>
      <c r="D103" s="169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1:13" ht="13.5" thickBot="1">
      <c r="A104" s="202" t="s">
        <v>110</v>
      </c>
      <c r="B104" s="175"/>
      <c r="C104" s="175"/>
      <c r="D104" s="201"/>
      <c r="E104" s="296"/>
      <c r="F104" s="296"/>
      <c r="G104" s="296"/>
      <c r="H104" s="296"/>
      <c r="I104" s="296"/>
      <c r="J104" s="296"/>
      <c r="K104" s="296"/>
      <c r="L104" s="296"/>
      <c r="M104" s="296"/>
    </row>
    <row r="105" spans="1:13" ht="13.5" thickBot="1">
      <c r="A105" s="89"/>
      <c r="B105" s="169"/>
      <c r="C105" s="94" t="s">
        <v>185</v>
      </c>
      <c r="D105" s="95" t="s">
        <v>109</v>
      </c>
      <c r="E105" s="296"/>
      <c r="F105" s="296"/>
      <c r="G105" s="296"/>
      <c r="H105" s="296"/>
      <c r="I105" s="296"/>
      <c r="J105" s="296"/>
      <c r="K105" s="296"/>
      <c r="L105" s="296"/>
      <c r="M105" s="296"/>
    </row>
    <row r="106" spans="1:13">
      <c r="A106" s="67" t="s">
        <v>387</v>
      </c>
      <c r="B106" s="68"/>
      <c r="C106" s="203">
        <f>D106/$D$112</f>
        <v>962.3671875</v>
      </c>
      <c r="D106" s="479">
        <f>'Development Schedule'!C10+'Development Schedule'!C15+'Development Schedule'!C28</f>
        <v>307957.5</v>
      </c>
      <c r="E106" s="296"/>
      <c r="F106" s="296"/>
      <c r="G106" s="296"/>
      <c r="H106" s="296"/>
      <c r="I106" s="296"/>
      <c r="J106" s="296"/>
      <c r="K106" s="296"/>
      <c r="L106" s="296"/>
      <c r="M106" s="296"/>
    </row>
    <row r="107" spans="1:13">
      <c r="A107" s="67" t="s">
        <v>384</v>
      </c>
      <c r="B107" s="68"/>
      <c r="C107" s="203">
        <f>D107/$D$112</f>
        <v>1611.0718750000001</v>
      </c>
      <c r="D107" s="246">
        <f>'Development Schedule'!C38</f>
        <v>515543</v>
      </c>
      <c r="E107" s="296"/>
      <c r="F107" s="296"/>
      <c r="G107" s="296"/>
      <c r="H107" s="296"/>
      <c r="I107" s="296"/>
      <c r="J107" s="296"/>
      <c r="K107" s="296"/>
      <c r="L107" s="296"/>
      <c r="M107" s="296"/>
    </row>
    <row r="108" spans="1:13">
      <c r="A108" s="67" t="s">
        <v>389</v>
      </c>
      <c r="B108" s="68"/>
      <c r="C108" s="203">
        <f>D108/$D$112</f>
        <v>528.30937500000005</v>
      </c>
      <c r="D108" s="246">
        <f>'Development Schedule'!C43+'Development Schedule'!C54</f>
        <v>169059</v>
      </c>
      <c r="E108" s="296"/>
      <c r="F108" s="296"/>
      <c r="G108" s="296"/>
      <c r="H108" s="296"/>
      <c r="I108" s="296"/>
      <c r="J108" s="296"/>
      <c r="K108" s="296"/>
      <c r="L108" s="296"/>
      <c r="M108" s="296"/>
    </row>
    <row r="109" spans="1:13" ht="13.5" thickBot="1">
      <c r="A109" s="70" t="s">
        <v>386</v>
      </c>
      <c r="B109" s="71"/>
      <c r="C109" s="294">
        <f>D109/$D$112</f>
        <v>818.53437499999995</v>
      </c>
      <c r="D109" s="247">
        <f>'Development Schedule'!C64</f>
        <v>261931</v>
      </c>
      <c r="E109" s="296"/>
      <c r="F109" s="296"/>
      <c r="G109" s="296"/>
      <c r="H109" s="296"/>
      <c r="I109" s="296"/>
      <c r="J109" s="296"/>
      <c r="K109" s="296"/>
      <c r="L109" s="296"/>
      <c r="M109" s="296"/>
    </row>
    <row r="110" spans="1:13" ht="13.5" thickBot="1">
      <c r="A110" s="39"/>
      <c r="B110" s="61"/>
      <c r="C110" s="61"/>
      <c r="D110" s="39"/>
      <c r="E110" s="296"/>
      <c r="F110" s="296"/>
      <c r="G110" s="296"/>
      <c r="H110" s="296"/>
      <c r="I110" s="296"/>
      <c r="J110" s="296"/>
      <c r="K110" s="296"/>
      <c r="L110" s="296"/>
      <c r="M110" s="296"/>
    </row>
    <row r="111" spans="1:13" ht="13.5" thickBot="1">
      <c r="A111" s="202" t="s">
        <v>120</v>
      </c>
      <c r="B111" s="275"/>
      <c r="C111" s="275"/>
      <c r="D111" s="276"/>
      <c r="E111" s="296"/>
      <c r="F111" s="296"/>
      <c r="G111" s="296"/>
      <c r="H111" s="296"/>
      <c r="I111" s="296"/>
      <c r="J111" s="296"/>
      <c r="K111" s="296"/>
      <c r="L111" s="296"/>
      <c r="M111" s="296"/>
    </row>
    <row r="112" spans="1:13">
      <c r="A112" s="67" t="s">
        <v>186</v>
      </c>
      <c r="B112" s="68"/>
      <c r="C112" s="68"/>
      <c r="D112" s="140">
        <v>320</v>
      </c>
      <c r="E112" s="296"/>
      <c r="F112" s="296"/>
      <c r="G112" s="296"/>
      <c r="H112" s="296"/>
      <c r="I112" s="296"/>
      <c r="J112" s="296"/>
      <c r="K112" s="296"/>
      <c r="L112" s="296"/>
      <c r="M112" s="296"/>
    </row>
    <row r="113" spans="1:13">
      <c r="A113" s="67" t="s">
        <v>121</v>
      </c>
      <c r="B113" s="68"/>
      <c r="C113" s="68"/>
      <c r="D113" s="941">
        <f>'Summary Board'!K126</f>
        <v>0.11</v>
      </c>
      <c r="E113" s="296"/>
      <c r="F113" s="296"/>
      <c r="G113" s="296"/>
      <c r="H113" s="296"/>
      <c r="I113" s="296"/>
      <c r="J113" s="296"/>
      <c r="K113" s="296"/>
      <c r="L113" s="296"/>
      <c r="M113" s="296"/>
    </row>
    <row r="114" spans="1:13">
      <c r="A114" s="67" t="s">
        <v>122</v>
      </c>
      <c r="B114" s="68"/>
      <c r="C114" s="68"/>
      <c r="D114" s="400">
        <v>0.03</v>
      </c>
      <c r="E114" s="296"/>
      <c r="F114" s="296"/>
      <c r="G114" s="296"/>
      <c r="H114" s="296"/>
      <c r="I114" s="296"/>
      <c r="J114" s="296"/>
      <c r="K114" s="296"/>
      <c r="L114" s="296"/>
      <c r="M114" s="296"/>
    </row>
    <row r="115" spans="1:13" ht="13.5" thickBot="1">
      <c r="A115" s="70" t="s">
        <v>106</v>
      </c>
      <c r="B115" s="71"/>
      <c r="C115" s="71"/>
      <c r="D115" s="141">
        <v>0.09</v>
      </c>
      <c r="E115" s="296"/>
      <c r="F115" s="296"/>
      <c r="G115" s="296"/>
      <c r="H115" s="296"/>
      <c r="I115" s="296"/>
      <c r="J115" s="296"/>
      <c r="K115" s="296"/>
      <c r="L115" s="296"/>
      <c r="M115" s="296"/>
    </row>
    <row r="116" spans="1:13">
      <c r="A116" s="296"/>
      <c r="B116" s="297"/>
      <c r="C116" s="297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</row>
    <row r="117" spans="1:13">
      <c r="A117" s="296"/>
    </row>
  </sheetData>
  <phoneticPr fontId="3" type="noConversion"/>
  <printOptions horizontalCentered="1"/>
  <pageMargins left="0.5" right="0.5" top="1" bottom="0.5" header="0.5" footer="0.5"/>
  <pageSetup scale="59" orientation="landscape" r:id="rId1"/>
  <headerFooter alignWithMargins="0">
    <oddHeader>&amp;L&amp;"Arial,Bold"8. Income Statement: Structured Parking</oddHeader>
  </headerFooter>
  <rowBreaks count="1" manualBreakCount="1">
    <brk id="59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="70" zoomScaleNormal="100" zoomScaleSheetLayoutView="70" workbookViewId="0">
      <selection activeCell="C70" sqref="C70:M70"/>
    </sheetView>
  </sheetViews>
  <sheetFormatPr defaultColWidth="9.140625" defaultRowHeight="12.75" outlineLevelRow="1"/>
  <cols>
    <col min="1" max="1" width="23.140625" style="1" customWidth="1"/>
    <col min="2" max="2" width="12.7109375" style="2" customWidth="1"/>
    <col min="3" max="3" width="13.7109375" style="2" customWidth="1"/>
    <col min="4" max="4" width="13.7109375" style="1" customWidth="1"/>
    <col min="5" max="5" width="16.5703125" style="1" bestFit="1" customWidth="1"/>
    <col min="6" max="7" width="15.5703125" style="1" bestFit="1" customWidth="1"/>
    <col min="8" max="13" width="13.7109375" style="1" customWidth="1"/>
    <col min="14" max="16384" width="9.140625" style="1"/>
  </cols>
  <sheetData>
    <row r="1" spans="1:15" ht="14.1" customHeight="1" thickBot="1">
      <c r="A1" s="850"/>
      <c r="B1" s="851"/>
      <c r="C1" s="85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5" ht="14.1" customHeight="1" thickBot="1">
      <c r="A2" s="850"/>
      <c r="B2" s="851"/>
      <c r="C2" s="851"/>
      <c r="D2" s="39"/>
      <c r="E2" s="39"/>
      <c r="F2" s="39"/>
      <c r="G2" s="39"/>
      <c r="H2" s="39"/>
      <c r="I2" s="39"/>
      <c r="J2" s="39"/>
      <c r="K2" s="39"/>
      <c r="L2" s="392"/>
      <c r="M2" s="393"/>
    </row>
    <row r="3" spans="1:15" ht="14.1" customHeight="1" thickBot="1">
      <c r="A3" s="139"/>
      <c r="B3" s="222"/>
      <c r="C3" s="145" t="s">
        <v>58</v>
      </c>
      <c r="D3" s="114" t="s">
        <v>37</v>
      </c>
      <c r="E3" s="115"/>
      <c r="F3" s="46"/>
      <c r="G3" s="114" t="s">
        <v>80</v>
      </c>
      <c r="H3" s="160"/>
      <c r="I3" s="46"/>
      <c r="J3" s="114" t="s">
        <v>81</v>
      </c>
      <c r="K3" s="44"/>
      <c r="L3" s="45"/>
      <c r="M3" s="46"/>
      <c r="N3" s="3"/>
      <c r="O3" s="3"/>
    </row>
    <row r="4" spans="1:15" ht="14.1" customHeight="1" thickBot="1">
      <c r="A4" s="67"/>
      <c r="B4" s="68"/>
      <c r="C4" s="153">
        <v>0</v>
      </c>
      <c r="D4" s="49">
        <f>C4+1</f>
        <v>1</v>
      </c>
      <c r="E4" s="48">
        <f t="shared" ref="E4:M5" si="0">D4+1</f>
        <v>2</v>
      </c>
      <c r="F4" s="50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2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  <c r="N4" s="3"/>
      <c r="O4" s="3"/>
    </row>
    <row r="5" spans="1:15" ht="14.1" customHeight="1" thickBot="1">
      <c r="A5" s="70"/>
      <c r="B5" s="152"/>
      <c r="C5" s="153" t="s">
        <v>311</v>
      </c>
      <c r="D5" s="300">
        <v>2019</v>
      </c>
      <c r="E5" s="111">
        <f>D5+1</f>
        <v>2020</v>
      </c>
      <c r="F5" s="113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2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  <c r="N5" s="3"/>
      <c r="O5" s="3"/>
    </row>
    <row r="6" spans="1:15" ht="13.5" thickBot="1">
      <c r="A6" s="217" t="s">
        <v>10</v>
      </c>
      <c r="B6" s="214"/>
      <c r="C6" s="223"/>
      <c r="D6" s="226"/>
      <c r="E6" s="215"/>
      <c r="F6" s="215"/>
      <c r="G6" s="226"/>
      <c r="H6" s="215"/>
      <c r="I6" s="216"/>
      <c r="J6" s="226"/>
      <c r="K6" s="215"/>
      <c r="L6" s="215"/>
      <c r="M6" s="216"/>
    </row>
    <row r="7" spans="1:15" s="296" customFormat="1">
      <c r="A7" s="66" t="s">
        <v>192</v>
      </c>
      <c r="B7" s="68"/>
      <c r="C7" s="228"/>
      <c r="D7" s="139"/>
      <c r="E7" s="346"/>
      <c r="F7" s="346"/>
      <c r="G7" s="67"/>
      <c r="H7" s="77"/>
      <c r="I7" s="122"/>
      <c r="J7" s="67"/>
      <c r="K7" s="77"/>
      <c r="L7" s="77"/>
      <c r="M7" s="122"/>
    </row>
    <row r="8" spans="1:15">
      <c r="A8" s="67" t="s">
        <v>11</v>
      </c>
      <c r="B8" s="138">
        <v>0.03</v>
      </c>
      <c r="C8" s="313"/>
      <c r="D8" s="67"/>
      <c r="E8" s="77"/>
      <c r="F8" s="77"/>
      <c r="G8" s="67"/>
      <c r="H8" s="77"/>
      <c r="I8" s="122"/>
      <c r="J8" s="67"/>
      <c r="K8" s="77"/>
      <c r="L8" s="77"/>
      <c r="M8" s="122"/>
    </row>
    <row r="9" spans="1:15">
      <c r="A9" s="67" t="s">
        <v>28</v>
      </c>
      <c r="B9" s="68"/>
      <c r="C9" s="350">
        <v>0</v>
      </c>
      <c r="D9" s="230">
        <f>C9</f>
        <v>0</v>
      </c>
      <c r="E9" s="203">
        <f>D9</f>
        <v>0</v>
      </c>
      <c r="F9" s="203">
        <f t="shared" ref="F9:M9" si="1">E9</f>
        <v>0</v>
      </c>
      <c r="G9" s="230">
        <f t="shared" si="1"/>
        <v>0</v>
      </c>
      <c r="H9" s="203">
        <f t="shared" si="1"/>
        <v>0</v>
      </c>
      <c r="I9" s="208">
        <f t="shared" si="1"/>
        <v>0</v>
      </c>
      <c r="J9" s="230">
        <f t="shared" si="1"/>
        <v>0</v>
      </c>
      <c r="K9" s="203">
        <f t="shared" si="1"/>
        <v>0</v>
      </c>
      <c r="L9" s="203">
        <f t="shared" si="1"/>
        <v>0</v>
      </c>
      <c r="M9" s="208">
        <f t="shared" si="1"/>
        <v>0</v>
      </c>
    </row>
    <row r="10" spans="1:15">
      <c r="A10" s="67" t="s">
        <v>84</v>
      </c>
      <c r="B10" s="68"/>
      <c r="C10" s="350">
        <v>0</v>
      </c>
      <c r="D10" s="230">
        <f>D83</f>
        <v>0</v>
      </c>
      <c r="E10" s="203">
        <f>D10</f>
        <v>0</v>
      </c>
      <c r="F10" s="203">
        <f t="shared" ref="F10:M10" si="2">E10</f>
        <v>0</v>
      </c>
      <c r="G10" s="230">
        <f t="shared" si="2"/>
        <v>0</v>
      </c>
      <c r="H10" s="203">
        <f t="shared" si="2"/>
        <v>0</v>
      </c>
      <c r="I10" s="208">
        <f t="shared" si="2"/>
        <v>0</v>
      </c>
      <c r="J10" s="230">
        <f t="shared" si="2"/>
        <v>0</v>
      </c>
      <c r="K10" s="203">
        <f t="shared" si="2"/>
        <v>0</v>
      </c>
      <c r="L10" s="203">
        <f t="shared" si="2"/>
        <v>0</v>
      </c>
      <c r="M10" s="208">
        <f t="shared" si="2"/>
        <v>0</v>
      </c>
    </row>
    <row r="11" spans="1:15">
      <c r="A11" s="192" t="s">
        <v>19</v>
      </c>
      <c r="B11" s="68"/>
      <c r="C11" s="468">
        <v>100</v>
      </c>
      <c r="D11" s="480">
        <f>$C$11*(1+$B8)^D$4</f>
        <v>103</v>
      </c>
      <c r="E11" s="379">
        <f t="shared" ref="E11:M11" si="3">$C$11*(1+$B8)^E$4</f>
        <v>106.08999999999999</v>
      </c>
      <c r="F11" s="379">
        <f t="shared" si="3"/>
        <v>109.2727</v>
      </c>
      <c r="G11" s="480">
        <f t="shared" si="3"/>
        <v>112.55088099999999</v>
      </c>
      <c r="H11" s="379">
        <f t="shared" si="3"/>
        <v>115.92740742999999</v>
      </c>
      <c r="I11" s="451">
        <f t="shared" si="3"/>
        <v>119.40522965289999</v>
      </c>
      <c r="J11" s="480">
        <f t="shared" si="3"/>
        <v>122.987386542487</v>
      </c>
      <c r="K11" s="379">
        <f t="shared" si="3"/>
        <v>126.67700813876159</v>
      </c>
      <c r="L11" s="379">
        <f t="shared" si="3"/>
        <v>130.47731838292444</v>
      </c>
      <c r="M11" s="451">
        <f t="shared" si="3"/>
        <v>134.39163793441219</v>
      </c>
    </row>
    <row r="12" spans="1:15">
      <c r="A12" s="192" t="s">
        <v>20</v>
      </c>
      <c r="B12" s="68"/>
      <c r="C12" s="237">
        <v>0</v>
      </c>
      <c r="D12" s="287"/>
      <c r="E12" s="119"/>
      <c r="F12" s="119"/>
      <c r="G12" s="287"/>
      <c r="H12" s="119"/>
      <c r="I12" s="238"/>
      <c r="J12" s="287"/>
      <c r="K12" s="119"/>
      <c r="L12" s="119"/>
      <c r="M12" s="238"/>
    </row>
    <row r="13" spans="1:15">
      <c r="A13" s="192" t="s">
        <v>21</v>
      </c>
      <c r="B13" s="68"/>
      <c r="C13" s="237">
        <v>0</v>
      </c>
      <c r="D13" s="287"/>
      <c r="E13" s="119"/>
      <c r="F13" s="119"/>
      <c r="G13" s="287"/>
      <c r="H13" s="119"/>
      <c r="I13" s="238"/>
      <c r="J13" s="287"/>
      <c r="K13" s="119"/>
      <c r="L13" s="119"/>
      <c r="M13" s="238"/>
    </row>
    <row r="14" spans="1:15">
      <c r="A14" s="192" t="s">
        <v>22</v>
      </c>
      <c r="B14" s="68"/>
      <c r="C14" s="488">
        <f>52*2</f>
        <v>104</v>
      </c>
      <c r="D14" s="228"/>
      <c r="E14" s="68"/>
      <c r="F14" s="68"/>
      <c r="G14" s="228"/>
      <c r="H14" s="68"/>
      <c r="I14" s="200"/>
      <c r="J14" s="228"/>
      <c r="K14" s="68"/>
      <c r="L14" s="68"/>
      <c r="M14" s="200"/>
    </row>
    <row r="15" spans="1:15">
      <c r="A15" s="192" t="s">
        <v>23</v>
      </c>
      <c r="B15" s="68"/>
      <c r="C15" s="488">
        <v>24</v>
      </c>
      <c r="D15" s="228"/>
      <c r="E15" s="68"/>
      <c r="F15" s="68"/>
      <c r="G15" s="228"/>
      <c r="H15" s="68"/>
      <c r="I15" s="200"/>
      <c r="J15" s="228"/>
      <c r="K15" s="68"/>
      <c r="L15" s="68"/>
      <c r="M15" s="200"/>
    </row>
    <row r="16" spans="1:15">
      <c r="A16" s="192" t="s">
        <v>24</v>
      </c>
      <c r="B16" s="68"/>
      <c r="C16" s="237">
        <v>0.75</v>
      </c>
      <c r="D16" s="287"/>
      <c r="E16" s="119"/>
      <c r="F16" s="119"/>
      <c r="G16" s="287"/>
      <c r="H16" s="119"/>
      <c r="I16" s="238"/>
      <c r="J16" s="287"/>
      <c r="K16" s="119"/>
      <c r="L16" s="119"/>
      <c r="M16" s="238"/>
    </row>
    <row r="17" spans="1:13">
      <c r="A17" s="192" t="s">
        <v>25</v>
      </c>
      <c r="B17" s="68"/>
      <c r="C17" s="228">
        <f>365-C14</f>
        <v>261</v>
      </c>
      <c r="D17" s="228"/>
      <c r="E17" s="68"/>
      <c r="F17" s="68"/>
      <c r="G17" s="228"/>
      <c r="H17" s="68"/>
      <c r="I17" s="200"/>
      <c r="J17" s="228"/>
      <c r="K17" s="68"/>
      <c r="L17" s="68"/>
      <c r="M17" s="200"/>
    </row>
    <row r="18" spans="1:13">
      <c r="A18" s="192" t="s">
        <v>23</v>
      </c>
      <c r="B18" s="68"/>
      <c r="C18" s="488">
        <v>24</v>
      </c>
      <c r="D18" s="228"/>
      <c r="E18" s="68"/>
      <c r="F18" s="68"/>
      <c r="G18" s="228"/>
      <c r="H18" s="68"/>
      <c r="I18" s="200"/>
      <c r="J18" s="228"/>
      <c r="K18" s="68"/>
      <c r="L18" s="68"/>
      <c r="M18" s="200"/>
    </row>
    <row r="19" spans="1:13">
      <c r="A19" s="192" t="s">
        <v>24</v>
      </c>
      <c r="B19" s="68"/>
      <c r="C19" s="237">
        <v>0.75</v>
      </c>
      <c r="D19" s="287"/>
      <c r="E19" s="119"/>
      <c r="F19" s="119"/>
      <c r="G19" s="287"/>
      <c r="H19" s="119"/>
      <c r="I19" s="238"/>
      <c r="J19" s="287"/>
      <c r="K19" s="119"/>
      <c r="L19" s="119"/>
      <c r="M19" s="238"/>
    </row>
    <row r="20" spans="1:13" s="477" customFormat="1">
      <c r="A20" s="192" t="s">
        <v>26</v>
      </c>
      <c r="B20" s="68"/>
      <c r="C20" s="468">
        <v>0.5</v>
      </c>
      <c r="D20" s="480">
        <f t="shared" ref="D20:M20" si="4">$C$20*(1+$B8)^D$4</f>
        <v>0.51500000000000001</v>
      </c>
      <c r="E20" s="379">
        <f t="shared" si="4"/>
        <v>0.53044999999999998</v>
      </c>
      <c r="F20" s="379">
        <f t="shared" si="4"/>
        <v>0.5463635</v>
      </c>
      <c r="G20" s="480">
        <f t="shared" si="4"/>
        <v>0.56275440499999996</v>
      </c>
      <c r="H20" s="379">
        <f t="shared" si="4"/>
        <v>0.57963703714999992</v>
      </c>
      <c r="I20" s="451">
        <f t="shared" si="4"/>
        <v>0.59702614826449996</v>
      </c>
      <c r="J20" s="480">
        <f t="shared" si="4"/>
        <v>0.61493693271243499</v>
      </c>
      <c r="K20" s="379">
        <f t="shared" si="4"/>
        <v>0.63338504069380797</v>
      </c>
      <c r="L20" s="379">
        <f t="shared" si="4"/>
        <v>0.65238659191462223</v>
      </c>
      <c r="M20" s="451">
        <f t="shared" si="4"/>
        <v>0.67195818967206089</v>
      </c>
    </row>
    <row r="21" spans="1:13" ht="13.5" thickBot="1">
      <c r="A21" s="150" t="s">
        <v>187</v>
      </c>
      <c r="B21" s="71"/>
      <c r="C21" s="489">
        <v>0.25</v>
      </c>
      <c r="D21" s="482">
        <f t="shared" ref="D21:M21" si="5">$C$21*(1+$B8)^D$4</f>
        <v>0.25750000000000001</v>
      </c>
      <c r="E21" s="481">
        <f t="shared" si="5"/>
        <v>0.26522499999999999</v>
      </c>
      <c r="F21" s="481">
        <f t="shared" si="5"/>
        <v>0.27318175</v>
      </c>
      <c r="G21" s="482">
        <f t="shared" si="5"/>
        <v>0.28137720249999998</v>
      </c>
      <c r="H21" s="481">
        <f t="shared" si="5"/>
        <v>0.28981851857499996</v>
      </c>
      <c r="I21" s="452">
        <f t="shared" si="5"/>
        <v>0.29851307413224998</v>
      </c>
      <c r="J21" s="482">
        <f t="shared" si="5"/>
        <v>0.3074684663562175</v>
      </c>
      <c r="K21" s="481">
        <f t="shared" si="5"/>
        <v>0.31669252034690398</v>
      </c>
      <c r="L21" s="481">
        <f t="shared" si="5"/>
        <v>0.32619329595731111</v>
      </c>
      <c r="M21" s="452">
        <f t="shared" si="5"/>
        <v>0.33597909483603045</v>
      </c>
    </row>
    <row r="22" spans="1:13" hidden="1" outlineLevel="1">
      <c r="A22" s="352" t="s">
        <v>188</v>
      </c>
      <c r="B22" s="222"/>
      <c r="C22" s="265">
        <f>C9*C11*$C13*12</f>
        <v>0</v>
      </c>
      <c r="D22" s="473">
        <f t="shared" ref="D22:M22" si="6">D9*D11*$C13*12</f>
        <v>0</v>
      </c>
      <c r="E22" s="484">
        <f t="shared" si="6"/>
        <v>0</v>
      </c>
      <c r="F22" s="484">
        <f t="shared" si="6"/>
        <v>0</v>
      </c>
      <c r="G22" s="473">
        <f t="shared" si="6"/>
        <v>0</v>
      </c>
      <c r="H22" s="484">
        <f t="shared" si="6"/>
        <v>0</v>
      </c>
      <c r="I22" s="485">
        <f t="shared" si="6"/>
        <v>0</v>
      </c>
      <c r="J22" s="473">
        <f t="shared" si="6"/>
        <v>0</v>
      </c>
      <c r="K22" s="484">
        <f t="shared" si="6"/>
        <v>0</v>
      </c>
      <c r="L22" s="484">
        <f t="shared" si="6"/>
        <v>0</v>
      </c>
      <c r="M22" s="485">
        <f t="shared" si="6"/>
        <v>0</v>
      </c>
    </row>
    <row r="23" spans="1:13" hidden="1" outlineLevel="1">
      <c r="A23" s="192" t="s">
        <v>189</v>
      </c>
      <c r="B23" s="68"/>
      <c r="C23" s="155">
        <f>(C9*$C14*$C15*$C16*C20)+(C9*$C17*$C18*$C19*C20)</f>
        <v>0</v>
      </c>
      <c r="D23" s="271">
        <f t="shared" ref="D23:M23" si="7">(D9*$C$14*$C$15*$C$16*D20)+(D9*$C$17*$C$18*$C$19*D20)</f>
        <v>0</v>
      </c>
      <c r="E23" s="250">
        <f t="shared" si="7"/>
        <v>0</v>
      </c>
      <c r="F23" s="250">
        <f t="shared" si="7"/>
        <v>0</v>
      </c>
      <c r="G23" s="271">
        <f t="shared" si="7"/>
        <v>0</v>
      </c>
      <c r="H23" s="250">
        <f t="shared" si="7"/>
        <v>0</v>
      </c>
      <c r="I23" s="272">
        <f t="shared" si="7"/>
        <v>0</v>
      </c>
      <c r="J23" s="271">
        <f t="shared" si="7"/>
        <v>0</v>
      </c>
      <c r="K23" s="250">
        <f t="shared" si="7"/>
        <v>0</v>
      </c>
      <c r="L23" s="250">
        <f t="shared" si="7"/>
        <v>0</v>
      </c>
      <c r="M23" s="272">
        <f t="shared" si="7"/>
        <v>0</v>
      </c>
    </row>
    <row r="24" spans="1:13" ht="13.5" hidden="1" outlineLevel="1" thickBot="1">
      <c r="A24" s="150" t="s">
        <v>184</v>
      </c>
      <c r="B24" s="71"/>
      <c r="C24" s="490">
        <f>C10*C21</f>
        <v>0</v>
      </c>
      <c r="D24" s="469">
        <f t="shared" ref="D24:M24" si="8">D10*D21</f>
        <v>0</v>
      </c>
      <c r="E24" s="486">
        <f t="shared" si="8"/>
        <v>0</v>
      </c>
      <c r="F24" s="486">
        <f t="shared" si="8"/>
        <v>0</v>
      </c>
      <c r="G24" s="469">
        <f t="shared" si="8"/>
        <v>0</v>
      </c>
      <c r="H24" s="486">
        <f t="shared" si="8"/>
        <v>0</v>
      </c>
      <c r="I24" s="487">
        <f t="shared" si="8"/>
        <v>0</v>
      </c>
      <c r="J24" s="469">
        <f t="shared" si="8"/>
        <v>0</v>
      </c>
      <c r="K24" s="486">
        <f t="shared" si="8"/>
        <v>0</v>
      </c>
      <c r="L24" s="486">
        <f t="shared" si="8"/>
        <v>0</v>
      </c>
      <c r="M24" s="487">
        <f t="shared" si="8"/>
        <v>0</v>
      </c>
    </row>
    <row r="25" spans="1:13" s="296" customFormat="1" collapsed="1">
      <c r="A25" s="66" t="s">
        <v>193</v>
      </c>
      <c r="B25" s="68"/>
      <c r="C25" s="228"/>
      <c r="D25" s="139"/>
      <c r="E25" s="346"/>
      <c r="F25" s="346"/>
      <c r="G25" s="67"/>
      <c r="H25" s="77"/>
      <c r="I25" s="122"/>
      <c r="J25" s="67"/>
      <c r="K25" s="77"/>
      <c r="L25" s="77"/>
      <c r="M25" s="122"/>
    </row>
    <row r="26" spans="1:13">
      <c r="A26" s="67" t="s">
        <v>11</v>
      </c>
      <c r="B26" s="138">
        <v>0.03</v>
      </c>
      <c r="C26" s="313"/>
      <c r="D26" s="67"/>
      <c r="E26" s="77"/>
      <c r="F26" s="77"/>
      <c r="G26" s="67"/>
      <c r="H26" s="77"/>
      <c r="I26" s="122"/>
      <c r="J26" s="67"/>
      <c r="K26" s="77"/>
      <c r="L26" s="77"/>
      <c r="M26" s="122"/>
    </row>
    <row r="27" spans="1:13">
      <c r="A27" s="67" t="s">
        <v>28</v>
      </c>
      <c r="B27" s="68"/>
      <c r="C27" s="350">
        <v>0</v>
      </c>
      <c r="D27" s="230">
        <f>C27</f>
        <v>0</v>
      </c>
      <c r="E27" s="203">
        <f t="shared" ref="D27:F28" si="9">D27</f>
        <v>0</v>
      </c>
      <c r="F27" s="203">
        <f t="shared" si="9"/>
        <v>0</v>
      </c>
      <c r="G27" s="230">
        <f t="shared" ref="G27:M28" si="10">F27</f>
        <v>0</v>
      </c>
      <c r="H27" s="203">
        <f>G27</f>
        <v>0</v>
      </c>
      <c r="I27" s="208">
        <f t="shared" si="10"/>
        <v>0</v>
      </c>
      <c r="J27" s="230">
        <f t="shared" si="10"/>
        <v>0</v>
      </c>
      <c r="K27" s="203">
        <f t="shared" si="10"/>
        <v>0</v>
      </c>
      <c r="L27" s="203">
        <f t="shared" si="10"/>
        <v>0</v>
      </c>
      <c r="M27" s="208">
        <f t="shared" si="10"/>
        <v>0</v>
      </c>
    </row>
    <row r="28" spans="1:13">
      <c r="A28" s="67" t="s">
        <v>84</v>
      </c>
      <c r="B28" s="68"/>
      <c r="C28" s="350">
        <v>0</v>
      </c>
      <c r="D28" s="230">
        <f t="shared" si="9"/>
        <v>0</v>
      </c>
      <c r="E28" s="203">
        <f t="shared" si="9"/>
        <v>0</v>
      </c>
      <c r="F28" s="203">
        <f t="shared" si="9"/>
        <v>0</v>
      </c>
      <c r="G28" s="230">
        <f t="shared" si="10"/>
        <v>0</v>
      </c>
      <c r="H28" s="203">
        <f>D84</f>
        <v>0</v>
      </c>
      <c r="I28" s="208">
        <f t="shared" si="10"/>
        <v>0</v>
      </c>
      <c r="J28" s="230">
        <f t="shared" si="10"/>
        <v>0</v>
      </c>
      <c r="K28" s="203">
        <f t="shared" si="10"/>
        <v>0</v>
      </c>
      <c r="L28" s="203">
        <f t="shared" si="10"/>
        <v>0</v>
      </c>
      <c r="M28" s="208">
        <f t="shared" si="10"/>
        <v>0</v>
      </c>
    </row>
    <row r="29" spans="1:13">
      <c r="A29" s="192" t="s">
        <v>19</v>
      </c>
      <c r="B29" s="68"/>
      <c r="C29" s="399">
        <f>C11</f>
        <v>100</v>
      </c>
      <c r="D29" s="480">
        <f t="shared" ref="D29:M29" si="11">D11</f>
        <v>103</v>
      </c>
      <c r="E29" s="379">
        <f t="shared" si="11"/>
        <v>106.08999999999999</v>
      </c>
      <c r="F29" s="379">
        <f t="shared" si="11"/>
        <v>109.2727</v>
      </c>
      <c r="G29" s="480">
        <f t="shared" si="11"/>
        <v>112.55088099999999</v>
      </c>
      <c r="H29" s="379">
        <f t="shared" si="11"/>
        <v>115.92740742999999</v>
      </c>
      <c r="I29" s="451">
        <f t="shared" si="11"/>
        <v>119.40522965289999</v>
      </c>
      <c r="J29" s="480">
        <f t="shared" si="11"/>
        <v>122.987386542487</v>
      </c>
      <c r="K29" s="379">
        <f t="shared" si="11"/>
        <v>126.67700813876159</v>
      </c>
      <c r="L29" s="379">
        <f t="shared" si="11"/>
        <v>130.47731838292444</v>
      </c>
      <c r="M29" s="451">
        <f t="shared" si="11"/>
        <v>134.39163793441219</v>
      </c>
    </row>
    <row r="30" spans="1:13">
      <c r="A30" s="192" t="s">
        <v>20</v>
      </c>
      <c r="B30" s="68"/>
      <c r="C30" s="237">
        <v>0</v>
      </c>
      <c r="D30" s="287"/>
      <c r="E30" s="119"/>
      <c r="F30" s="119"/>
      <c r="G30" s="287"/>
      <c r="H30" s="119"/>
      <c r="I30" s="238"/>
      <c r="J30" s="287"/>
      <c r="K30" s="119"/>
      <c r="L30" s="119"/>
      <c r="M30" s="238"/>
    </row>
    <row r="31" spans="1:13">
      <c r="A31" s="192" t="s">
        <v>21</v>
      </c>
      <c r="B31" s="68"/>
      <c r="C31" s="237">
        <v>0</v>
      </c>
      <c r="D31" s="287"/>
      <c r="E31" s="119"/>
      <c r="F31" s="119"/>
      <c r="G31" s="287"/>
      <c r="H31" s="119"/>
      <c r="I31" s="238"/>
      <c r="J31" s="287"/>
      <c r="K31" s="119"/>
      <c r="L31" s="119"/>
      <c r="M31" s="238"/>
    </row>
    <row r="32" spans="1:13">
      <c r="A32" s="192" t="s">
        <v>22</v>
      </c>
      <c r="B32" s="68"/>
      <c r="C32" s="488">
        <f>52*2</f>
        <v>104</v>
      </c>
      <c r="D32" s="228"/>
      <c r="E32" s="68"/>
      <c r="F32" s="68"/>
      <c r="G32" s="228"/>
      <c r="H32" s="68"/>
      <c r="I32" s="200"/>
      <c r="J32" s="228"/>
      <c r="K32" s="68"/>
      <c r="L32" s="68"/>
      <c r="M32" s="200"/>
    </row>
    <row r="33" spans="1:13">
      <c r="A33" s="192" t="s">
        <v>23</v>
      </c>
      <c r="B33" s="68"/>
      <c r="C33" s="488">
        <v>24</v>
      </c>
      <c r="D33" s="228"/>
      <c r="E33" s="68"/>
      <c r="F33" s="68"/>
      <c r="G33" s="228"/>
      <c r="H33" s="68"/>
      <c r="I33" s="200"/>
      <c r="J33" s="228"/>
      <c r="K33" s="68"/>
      <c r="L33" s="68"/>
      <c r="M33" s="200"/>
    </row>
    <row r="34" spans="1:13">
      <c r="A34" s="192" t="s">
        <v>24</v>
      </c>
      <c r="B34" s="68"/>
      <c r="C34" s="237">
        <v>0.75</v>
      </c>
      <c r="D34" s="287"/>
      <c r="E34" s="119"/>
      <c r="F34" s="119"/>
      <c r="G34" s="287"/>
      <c r="H34" s="119"/>
      <c r="I34" s="238"/>
      <c r="J34" s="287"/>
      <c r="K34" s="119"/>
      <c r="L34" s="119"/>
      <c r="M34" s="238"/>
    </row>
    <row r="35" spans="1:13">
      <c r="A35" s="192" t="s">
        <v>25</v>
      </c>
      <c r="B35" s="68"/>
      <c r="C35" s="228">
        <f>365-C32</f>
        <v>261</v>
      </c>
      <c r="D35" s="228"/>
      <c r="E35" s="68"/>
      <c r="F35" s="68"/>
      <c r="G35" s="228"/>
      <c r="H35" s="68"/>
      <c r="I35" s="200"/>
      <c r="J35" s="228"/>
      <c r="K35" s="68"/>
      <c r="L35" s="68"/>
      <c r="M35" s="200"/>
    </row>
    <row r="36" spans="1:13">
      <c r="A36" s="192" t="s">
        <v>23</v>
      </c>
      <c r="B36" s="68"/>
      <c r="C36" s="488">
        <v>24</v>
      </c>
      <c r="D36" s="228"/>
      <c r="E36" s="68"/>
      <c r="F36" s="68"/>
      <c r="G36" s="228"/>
      <c r="H36" s="68"/>
      <c r="I36" s="200"/>
      <c r="J36" s="228"/>
      <c r="K36" s="68"/>
      <c r="L36" s="68"/>
      <c r="M36" s="200"/>
    </row>
    <row r="37" spans="1:13">
      <c r="A37" s="192" t="s">
        <v>24</v>
      </c>
      <c r="B37" s="68"/>
      <c r="C37" s="237">
        <v>0.75</v>
      </c>
      <c r="D37" s="287"/>
      <c r="E37" s="119"/>
      <c r="F37" s="119"/>
      <c r="G37" s="287"/>
      <c r="H37" s="119"/>
      <c r="I37" s="238"/>
      <c r="J37" s="287"/>
      <c r="K37" s="119"/>
      <c r="L37" s="119"/>
      <c r="M37" s="238"/>
    </row>
    <row r="38" spans="1:13" s="477" customFormat="1">
      <c r="A38" s="192" t="s">
        <v>26</v>
      </c>
      <c r="B38" s="68"/>
      <c r="C38" s="468">
        <v>0.5</v>
      </c>
      <c r="D38" s="480">
        <f t="shared" ref="D38:M38" si="12">$C$20*(1+$B26)^D$4</f>
        <v>0.51500000000000001</v>
      </c>
      <c r="E38" s="379">
        <f t="shared" si="12"/>
        <v>0.53044999999999998</v>
      </c>
      <c r="F38" s="379">
        <f t="shared" si="12"/>
        <v>0.5463635</v>
      </c>
      <c r="G38" s="480">
        <f t="shared" si="12"/>
        <v>0.56275440499999996</v>
      </c>
      <c r="H38" s="379">
        <f t="shared" si="12"/>
        <v>0.57963703714999992</v>
      </c>
      <c r="I38" s="451">
        <f t="shared" si="12"/>
        <v>0.59702614826449996</v>
      </c>
      <c r="J38" s="480">
        <f t="shared" si="12"/>
        <v>0.61493693271243499</v>
      </c>
      <c r="K38" s="379">
        <f t="shared" si="12"/>
        <v>0.63338504069380797</v>
      </c>
      <c r="L38" s="379">
        <f t="shared" si="12"/>
        <v>0.65238659191462223</v>
      </c>
      <c r="M38" s="451">
        <f t="shared" si="12"/>
        <v>0.67195818967206089</v>
      </c>
    </row>
    <row r="39" spans="1:13" ht="13.5" thickBot="1">
      <c r="A39" s="150" t="s">
        <v>187</v>
      </c>
      <c r="B39" s="71"/>
      <c r="C39" s="489">
        <v>0.25</v>
      </c>
      <c r="D39" s="482">
        <f t="shared" ref="D39:M39" si="13">$C$21*(1+$B26)^D$4</f>
        <v>0.25750000000000001</v>
      </c>
      <c r="E39" s="481">
        <f t="shared" si="13"/>
        <v>0.26522499999999999</v>
      </c>
      <c r="F39" s="481">
        <f t="shared" si="13"/>
        <v>0.27318175</v>
      </c>
      <c r="G39" s="482">
        <f t="shared" si="13"/>
        <v>0.28137720249999998</v>
      </c>
      <c r="H39" s="481">
        <f t="shared" si="13"/>
        <v>0.28981851857499996</v>
      </c>
      <c r="I39" s="452">
        <f t="shared" si="13"/>
        <v>0.29851307413224998</v>
      </c>
      <c r="J39" s="482">
        <f t="shared" si="13"/>
        <v>0.3074684663562175</v>
      </c>
      <c r="K39" s="481">
        <f t="shared" si="13"/>
        <v>0.31669252034690398</v>
      </c>
      <c r="L39" s="481">
        <f t="shared" si="13"/>
        <v>0.32619329595731111</v>
      </c>
      <c r="M39" s="452">
        <f t="shared" si="13"/>
        <v>0.33597909483603045</v>
      </c>
    </row>
    <row r="40" spans="1:13" hidden="1" outlineLevel="1">
      <c r="A40" s="352" t="s">
        <v>188</v>
      </c>
      <c r="B40" s="222"/>
      <c r="C40" s="265">
        <f>C27*C29*$C31*12</f>
        <v>0</v>
      </c>
      <c r="D40" s="473">
        <f t="shared" ref="D40:M40" si="14">D27*D29*$C31*12</f>
        <v>0</v>
      </c>
      <c r="E40" s="484">
        <f t="shared" si="14"/>
        <v>0</v>
      </c>
      <c r="F40" s="484">
        <f t="shared" si="14"/>
        <v>0</v>
      </c>
      <c r="G40" s="473">
        <f t="shared" si="14"/>
        <v>0</v>
      </c>
      <c r="H40" s="484">
        <f t="shared" si="14"/>
        <v>0</v>
      </c>
      <c r="I40" s="485">
        <f t="shared" si="14"/>
        <v>0</v>
      </c>
      <c r="J40" s="473">
        <f t="shared" si="14"/>
        <v>0</v>
      </c>
      <c r="K40" s="484">
        <f t="shared" si="14"/>
        <v>0</v>
      </c>
      <c r="L40" s="484">
        <f t="shared" si="14"/>
        <v>0</v>
      </c>
      <c r="M40" s="485">
        <f t="shared" si="14"/>
        <v>0</v>
      </c>
    </row>
    <row r="41" spans="1:13" hidden="1" outlineLevel="1">
      <c r="A41" s="192" t="s">
        <v>189</v>
      </c>
      <c r="B41" s="68"/>
      <c r="C41" s="155">
        <f>(C27*$C32*$C33*$C34*C38)+(C27*$C35*$C36*$C37*C38)</f>
        <v>0</v>
      </c>
      <c r="D41" s="271">
        <f t="shared" ref="D41:M41" si="15">(D27*$C32*$C33*$C34*D38)+(D27*$C35*$C36*$C37*D38)</f>
        <v>0</v>
      </c>
      <c r="E41" s="250">
        <f t="shared" si="15"/>
        <v>0</v>
      </c>
      <c r="F41" s="250">
        <f t="shared" si="15"/>
        <v>0</v>
      </c>
      <c r="G41" s="271">
        <f t="shared" si="15"/>
        <v>0</v>
      </c>
      <c r="H41" s="250">
        <f t="shared" si="15"/>
        <v>0</v>
      </c>
      <c r="I41" s="272">
        <f t="shared" si="15"/>
        <v>0</v>
      </c>
      <c r="J41" s="271">
        <f t="shared" si="15"/>
        <v>0</v>
      </c>
      <c r="K41" s="250">
        <f t="shared" si="15"/>
        <v>0</v>
      </c>
      <c r="L41" s="250">
        <f t="shared" si="15"/>
        <v>0</v>
      </c>
      <c r="M41" s="272">
        <f t="shared" si="15"/>
        <v>0</v>
      </c>
    </row>
    <row r="42" spans="1:13" ht="13.5" hidden="1" outlineLevel="1" thickBot="1">
      <c r="A42" s="150" t="s">
        <v>184</v>
      </c>
      <c r="B42" s="71"/>
      <c r="C42" s="490">
        <f>C28*C39</f>
        <v>0</v>
      </c>
      <c r="D42" s="469">
        <f t="shared" ref="D42:M42" si="16">D28*D39</f>
        <v>0</v>
      </c>
      <c r="E42" s="486">
        <f t="shared" si="16"/>
        <v>0</v>
      </c>
      <c r="F42" s="486">
        <f t="shared" si="16"/>
        <v>0</v>
      </c>
      <c r="G42" s="469">
        <f t="shared" si="16"/>
        <v>0</v>
      </c>
      <c r="H42" s="486">
        <f t="shared" si="16"/>
        <v>0</v>
      </c>
      <c r="I42" s="487">
        <f t="shared" si="16"/>
        <v>0</v>
      </c>
      <c r="J42" s="469">
        <f t="shared" si="16"/>
        <v>0</v>
      </c>
      <c r="K42" s="486">
        <f t="shared" si="16"/>
        <v>0</v>
      </c>
      <c r="L42" s="486">
        <f t="shared" si="16"/>
        <v>0</v>
      </c>
      <c r="M42" s="487">
        <f t="shared" si="16"/>
        <v>0</v>
      </c>
    </row>
    <row r="43" spans="1:13" s="296" customFormat="1" collapsed="1">
      <c r="A43" s="66" t="s">
        <v>194</v>
      </c>
      <c r="B43" s="68"/>
      <c r="C43" s="228"/>
      <c r="D43" s="139"/>
      <c r="E43" s="346"/>
      <c r="F43" s="346"/>
      <c r="G43" s="67"/>
      <c r="H43" s="77"/>
      <c r="I43" s="122"/>
      <c r="J43" s="67"/>
      <c r="K43" s="77"/>
      <c r="L43" s="77"/>
      <c r="M43" s="122"/>
    </row>
    <row r="44" spans="1:13">
      <c r="A44" s="67" t="s">
        <v>11</v>
      </c>
      <c r="B44" s="138">
        <v>0.03</v>
      </c>
      <c r="C44" s="313"/>
      <c r="D44" s="67"/>
      <c r="E44" s="77"/>
      <c r="F44" s="77"/>
      <c r="G44" s="67"/>
      <c r="H44" s="77"/>
      <c r="I44" s="122"/>
      <c r="J44" s="67"/>
      <c r="K44" s="77"/>
      <c r="L44" s="77"/>
      <c r="M44" s="122"/>
    </row>
    <row r="45" spans="1:13">
      <c r="A45" s="67" t="s">
        <v>28</v>
      </c>
      <c r="B45" s="68"/>
      <c r="C45" s="350">
        <v>0</v>
      </c>
      <c r="D45" s="230">
        <f t="shared" ref="D45:F46" si="17">C45</f>
        <v>0</v>
      </c>
      <c r="E45" s="203">
        <f t="shared" si="17"/>
        <v>0</v>
      </c>
      <c r="F45" s="203">
        <f t="shared" si="17"/>
        <v>0</v>
      </c>
      <c r="G45" s="230">
        <f t="shared" ref="G45:M46" si="18">F45</f>
        <v>0</v>
      </c>
      <c r="H45" s="203">
        <f t="shared" si="18"/>
        <v>0</v>
      </c>
      <c r="I45" s="208">
        <f>H45</f>
        <v>0</v>
      </c>
      <c r="J45" s="230">
        <f t="shared" si="18"/>
        <v>0</v>
      </c>
      <c r="K45" s="203">
        <f t="shared" si="18"/>
        <v>0</v>
      </c>
      <c r="L45" s="203">
        <f t="shared" si="18"/>
        <v>0</v>
      </c>
      <c r="M45" s="208">
        <f t="shared" si="18"/>
        <v>0</v>
      </c>
    </row>
    <row r="46" spans="1:13">
      <c r="A46" s="67" t="s">
        <v>84</v>
      </c>
      <c r="B46" s="68"/>
      <c r="C46" s="350">
        <v>0</v>
      </c>
      <c r="D46" s="230">
        <f t="shared" si="17"/>
        <v>0</v>
      </c>
      <c r="E46" s="203">
        <f t="shared" si="17"/>
        <v>0</v>
      </c>
      <c r="F46" s="203">
        <f t="shared" si="17"/>
        <v>0</v>
      </c>
      <c r="G46" s="230">
        <f t="shared" si="18"/>
        <v>0</v>
      </c>
      <c r="H46" s="203">
        <f t="shared" si="18"/>
        <v>0</v>
      </c>
      <c r="I46" s="208">
        <f>D85</f>
        <v>0</v>
      </c>
      <c r="J46" s="230">
        <f t="shared" si="18"/>
        <v>0</v>
      </c>
      <c r="K46" s="203">
        <f t="shared" si="18"/>
        <v>0</v>
      </c>
      <c r="L46" s="203">
        <f t="shared" si="18"/>
        <v>0</v>
      </c>
      <c r="M46" s="208">
        <f t="shared" si="18"/>
        <v>0</v>
      </c>
    </row>
    <row r="47" spans="1:13">
      <c r="A47" s="192" t="s">
        <v>19</v>
      </c>
      <c r="B47" s="68"/>
      <c r="C47" s="399">
        <f>C29</f>
        <v>100</v>
      </c>
      <c r="D47" s="480">
        <f t="shared" ref="D47:M47" si="19">D29</f>
        <v>103</v>
      </c>
      <c r="E47" s="379">
        <f t="shared" si="19"/>
        <v>106.08999999999999</v>
      </c>
      <c r="F47" s="379">
        <f t="shared" si="19"/>
        <v>109.2727</v>
      </c>
      <c r="G47" s="480">
        <f t="shared" si="19"/>
        <v>112.55088099999999</v>
      </c>
      <c r="H47" s="379">
        <f t="shared" si="19"/>
        <v>115.92740742999999</v>
      </c>
      <c r="I47" s="451">
        <f t="shared" si="19"/>
        <v>119.40522965289999</v>
      </c>
      <c r="J47" s="480">
        <f t="shared" si="19"/>
        <v>122.987386542487</v>
      </c>
      <c r="K47" s="379">
        <f t="shared" si="19"/>
        <v>126.67700813876159</v>
      </c>
      <c r="L47" s="379">
        <f t="shared" si="19"/>
        <v>130.47731838292444</v>
      </c>
      <c r="M47" s="451">
        <f t="shared" si="19"/>
        <v>134.39163793441219</v>
      </c>
    </row>
    <row r="48" spans="1:13">
      <c r="A48" s="192" t="s">
        <v>20</v>
      </c>
      <c r="B48" s="68"/>
      <c r="C48" s="237">
        <v>0</v>
      </c>
      <c r="D48" s="287"/>
      <c r="E48" s="119"/>
      <c r="F48" s="119"/>
      <c r="G48" s="287"/>
      <c r="H48" s="119"/>
      <c r="I48" s="238"/>
      <c r="J48" s="287"/>
      <c r="K48" s="119"/>
      <c r="L48" s="119"/>
      <c r="M48" s="238"/>
    </row>
    <row r="49" spans="1:13">
      <c r="A49" s="192" t="s">
        <v>21</v>
      </c>
      <c r="B49" s="68"/>
      <c r="C49" s="237">
        <v>0</v>
      </c>
      <c r="D49" s="287"/>
      <c r="E49" s="119"/>
      <c r="F49" s="119"/>
      <c r="G49" s="287"/>
      <c r="H49" s="119"/>
      <c r="I49" s="238"/>
      <c r="J49" s="287"/>
      <c r="K49" s="119"/>
      <c r="L49" s="119"/>
      <c r="M49" s="238"/>
    </row>
    <row r="50" spans="1:13">
      <c r="A50" s="192" t="s">
        <v>22</v>
      </c>
      <c r="B50" s="68"/>
      <c r="C50" s="488">
        <f>52*2</f>
        <v>104</v>
      </c>
      <c r="D50" s="228"/>
      <c r="E50" s="68"/>
      <c r="F50" s="68"/>
      <c r="G50" s="228"/>
      <c r="H50" s="68"/>
      <c r="I50" s="200"/>
      <c r="J50" s="228"/>
      <c r="K50" s="68"/>
      <c r="L50" s="68"/>
      <c r="M50" s="200"/>
    </row>
    <row r="51" spans="1:13">
      <c r="A51" s="192" t="s">
        <v>23</v>
      </c>
      <c r="B51" s="68"/>
      <c r="C51" s="488">
        <v>24</v>
      </c>
      <c r="D51" s="228"/>
      <c r="E51" s="68"/>
      <c r="F51" s="68"/>
      <c r="G51" s="228"/>
      <c r="H51" s="68"/>
      <c r="I51" s="200"/>
      <c r="J51" s="228"/>
      <c r="K51" s="68"/>
      <c r="L51" s="68"/>
      <c r="M51" s="200"/>
    </row>
    <row r="52" spans="1:13">
      <c r="A52" s="192" t="s">
        <v>24</v>
      </c>
      <c r="B52" s="68"/>
      <c r="C52" s="237">
        <v>0.75</v>
      </c>
      <c r="D52" s="287"/>
      <c r="E52" s="119"/>
      <c r="F52" s="119"/>
      <c r="G52" s="287"/>
      <c r="H52" s="119"/>
      <c r="I52" s="238"/>
      <c r="J52" s="287"/>
      <c r="K52" s="119"/>
      <c r="L52" s="119"/>
      <c r="M52" s="238"/>
    </row>
    <row r="53" spans="1:13">
      <c r="A53" s="192" t="s">
        <v>25</v>
      </c>
      <c r="B53" s="68"/>
      <c r="C53" s="228">
        <f>365-C50</f>
        <v>261</v>
      </c>
      <c r="D53" s="228"/>
      <c r="E53" s="68"/>
      <c r="F53" s="68"/>
      <c r="G53" s="228"/>
      <c r="H53" s="68"/>
      <c r="I53" s="200"/>
      <c r="J53" s="228"/>
      <c r="K53" s="68"/>
      <c r="L53" s="68"/>
      <c r="M53" s="200"/>
    </row>
    <row r="54" spans="1:13">
      <c r="A54" s="192" t="s">
        <v>23</v>
      </c>
      <c r="B54" s="68"/>
      <c r="C54" s="488">
        <v>24</v>
      </c>
      <c r="D54" s="399"/>
      <c r="E54" s="68"/>
      <c r="F54" s="68"/>
      <c r="G54" s="228"/>
      <c r="H54" s="68"/>
      <c r="I54" s="200"/>
      <c r="J54" s="228"/>
      <c r="K54" s="68"/>
      <c r="L54" s="68"/>
      <c r="M54" s="200"/>
    </row>
    <row r="55" spans="1:13">
      <c r="A55" s="192" t="s">
        <v>24</v>
      </c>
      <c r="B55" s="68"/>
      <c r="C55" s="237">
        <v>0.75</v>
      </c>
      <c r="D55" s="287"/>
      <c r="E55" s="119"/>
      <c r="F55" s="119"/>
      <c r="G55" s="287"/>
      <c r="H55" s="119"/>
      <c r="I55" s="238"/>
      <c r="J55" s="287"/>
      <c r="K55" s="119"/>
      <c r="L55" s="119"/>
      <c r="M55" s="238"/>
    </row>
    <row r="56" spans="1:13" s="477" customFormat="1">
      <c r="A56" s="192" t="s">
        <v>26</v>
      </c>
      <c r="B56" s="68"/>
      <c r="C56" s="468">
        <v>0.5</v>
      </c>
      <c r="D56" s="480">
        <f t="shared" ref="D56:M56" si="20">$C$20*(1+$B44)^D$4</f>
        <v>0.51500000000000001</v>
      </c>
      <c r="E56" s="379">
        <f t="shared" si="20"/>
        <v>0.53044999999999998</v>
      </c>
      <c r="F56" s="379">
        <f t="shared" si="20"/>
        <v>0.5463635</v>
      </c>
      <c r="G56" s="480">
        <f t="shared" si="20"/>
        <v>0.56275440499999996</v>
      </c>
      <c r="H56" s="379">
        <f t="shared" si="20"/>
        <v>0.57963703714999992</v>
      </c>
      <c r="I56" s="451">
        <f t="shared" si="20"/>
        <v>0.59702614826449996</v>
      </c>
      <c r="J56" s="480">
        <f t="shared" si="20"/>
        <v>0.61493693271243499</v>
      </c>
      <c r="K56" s="379">
        <f t="shared" si="20"/>
        <v>0.63338504069380797</v>
      </c>
      <c r="L56" s="379">
        <f t="shared" si="20"/>
        <v>0.65238659191462223</v>
      </c>
      <c r="M56" s="451">
        <f t="shared" si="20"/>
        <v>0.67195818967206089</v>
      </c>
    </row>
    <row r="57" spans="1:13" ht="13.5" thickBot="1">
      <c r="A57" s="150" t="s">
        <v>187</v>
      </c>
      <c r="B57" s="71"/>
      <c r="C57" s="489">
        <v>0.25</v>
      </c>
      <c r="D57" s="482">
        <f t="shared" ref="D57:M57" si="21">$C$21*(1+$B44)^D$4</f>
        <v>0.25750000000000001</v>
      </c>
      <c r="E57" s="481">
        <f t="shared" si="21"/>
        <v>0.26522499999999999</v>
      </c>
      <c r="F57" s="481">
        <f t="shared" si="21"/>
        <v>0.27318175</v>
      </c>
      <c r="G57" s="482">
        <f t="shared" si="21"/>
        <v>0.28137720249999998</v>
      </c>
      <c r="H57" s="481">
        <f t="shared" si="21"/>
        <v>0.28981851857499996</v>
      </c>
      <c r="I57" s="452">
        <f t="shared" si="21"/>
        <v>0.29851307413224998</v>
      </c>
      <c r="J57" s="482">
        <f t="shared" si="21"/>
        <v>0.3074684663562175</v>
      </c>
      <c r="K57" s="481">
        <f t="shared" si="21"/>
        <v>0.31669252034690398</v>
      </c>
      <c r="L57" s="481">
        <f t="shared" si="21"/>
        <v>0.32619329595731111</v>
      </c>
      <c r="M57" s="452">
        <f t="shared" si="21"/>
        <v>0.33597909483603045</v>
      </c>
    </row>
    <row r="58" spans="1:13" hidden="1" outlineLevel="1">
      <c r="A58" s="352" t="s">
        <v>188</v>
      </c>
      <c r="B58" s="222"/>
      <c r="C58" s="265">
        <f>C45*C47*$C49*12</f>
        <v>0</v>
      </c>
      <c r="D58" s="473">
        <f t="shared" ref="D58:M58" si="22">D45*D47*$C49*12</f>
        <v>0</v>
      </c>
      <c r="E58" s="484">
        <f t="shared" si="22"/>
        <v>0</v>
      </c>
      <c r="F58" s="484">
        <f t="shared" si="22"/>
        <v>0</v>
      </c>
      <c r="G58" s="473">
        <f t="shared" si="22"/>
        <v>0</v>
      </c>
      <c r="H58" s="484">
        <f t="shared" si="22"/>
        <v>0</v>
      </c>
      <c r="I58" s="485">
        <f t="shared" si="22"/>
        <v>0</v>
      </c>
      <c r="J58" s="473">
        <f t="shared" si="22"/>
        <v>0</v>
      </c>
      <c r="K58" s="484">
        <f t="shared" si="22"/>
        <v>0</v>
      </c>
      <c r="L58" s="484">
        <f t="shared" si="22"/>
        <v>0</v>
      </c>
      <c r="M58" s="485">
        <f t="shared" si="22"/>
        <v>0</v>
      </c>
    </row>
    <row r="59" spans="1:13" hidden="1" outlineLevel="1">
      <c r="A59" s="192" t="s">
        <v>189</v>
      </c>
      <c r="B59" s="68"/>
      <c r="C59" s="155">
        <f>(C45*$C50*$C51*$C52*C56)+(C45*$C53*$C54*$C55*C56)</f>
        <v>0</v>
      </c>
      <c r="D59" s="271">
        <f t="shared" ref="D59:M59" si="23">(D45*$C50*$C51*$C52*D56)+(D45*$C53*$C54*$C55*D56)</f>
        <v>0</v>
      </c>
      <c r="E59" s="250">
        <f t="shared" si="23"/>
        <v>0</v>
      </c>
      <c r="F59" s="250">
        <f t="shared" si="23"/>
        <v>0</v>
      </c>
      <c r="G59" s="271">
        <f t="shared" si="23"/>
        <v>0</v>
      </c>
      <c r="H59" s="250">
        <f t="shared" si="23"/>
        <v>0</v>
      </c>
      <c r="I59" s="272">
        <f t="shared" si="23"/>
        <v>0</v>
      </c>
      <c r="J59" s="271">
        <f t="shared" si="23"/>
        <v>0</v>
      </c>
      <c r="K59" s="250">
        <f t="shared" si="23"/>
        <v>0</v>
      </c>
      <c r="L59" s="250">
        <f t="shared" si="23"/>
        <v>0</v>
      </c>
      <c r="M59" s="272">
        <f t="shared" si="23"/>
        <v>0</v>
      </c>
    </row>
    <row r="60" spans="1:13" ht="13.5" hidden="1" outlineLevel="1" thickBot="1">
      <c r="A60" s="150" t="s">
        <v>184</v>
      </c>
      <c r="B60" s="71"/>
      <c r="C60" s="490">
        <f>C46*C57</f>
        <v>0</v>
      </c>
      <c r="D60" s="469">
        <f t="shared" ref="D60:M60" si="24">D46*D57</f>
        <v>0</v>
      </c>
      <c r="E60" s="486">
        <f t="shared" si="24"/>
        <v>0</v>
      </c>
      <c r="F60" s="486">
        <f t="shared" si="24"/>
        <v>0</v>
      </c>
      <c r="G60" s="469">
        <f t="shared" si="24"/>
        <v>0</v>
      </c>
      <c r="H60" s="486">
        <f t="shared" si="24"/>
        <v>0</v>
      </c>
      <c r="I60" s="487">
        <f t="shared" si="24"/>
        <v>0</v>
      </c>
      <c r="J60" s="469">
        <f t="shared" si="24"/>
        <v>0</v>
      </c>
      <c r="K60" s="486">
        <f t="shared" si="24"/>
        <v>0</v>
      </c>
      <c r="L60" s="486">
        <f t="shared" si="24"/>
        <v>0</v>
      </c>
      <c r="M60" s="487">
        <f t="shared" si="24"/>
        <v>0</v>
      </c>
    </row>
    <row r="61" spans="1:13" s="296" customFormat="1" ht="13.5" collapsed="1" thickBot="1">
      <c r="A61" s="217" t="s">
        <v>0</v>
      </c>
      <c r="B61" s="214"/>
      <c r="C61" s="223"/>
      <c r="D61" s="264"/>
      <c r="E61" s="220"/>
      <c r="F61" s="221"/>
      <c r="G61" s="264"/>
      <c r="H61" s="220"/>
      <c r="I61" s="221"/>
      <c r="J61" s="264"/>
      <c r="K61" s="220"/>
      <c r="L61" s="220"/>
      <c r="M61" s="221"/>
    </row>
    <row r="62" spans="1:13" s="296" customFormat="1">
      <c r="A62" s="352" t="s">
        <v>188</v>
      </c>
      <c r="B62" s="68"/>
      <c r="C62" s="154">
        <f>SUM(C22,C40,C58)</f>
        <v>0</v>
      </c>
      <c r="D62" s="491">
        <f t="shared" ref="D62:M62" si="25">SUM(D22,D40,D58)</f>
        <v>0</v>
      </c>
      <c r="E62" s="492">
        <f t="shared" si="25"/>
        <v>0</v>
      </c>
      <c r="F62" s="493">
        <f t="shared" si="25"/>
        <v>0</v>
      </c>
      <c r="G62" s="491">
        <f t="shared" si="25"/>
        <v>0</v>
      </c>
      <c r="H62" s="492">
        <f t="shared" si="25"/>
        <v>0</v>
      </c>
      <c r="I62" s="493">
        <f t="shared" si="25"/>
        <v>0</v>
      </c>
      <c r="J62" s="491">
        <f t="shared" si="25"/>
        <v>0</v>
      </c>
      <c r="K62" s="492">
        <f t="shared" si="25"/>
        <v>0</v>
      </c>
      <c r="L62" s="492">
        <f t="shared" si="25"/>
        <v>0</v>
      </c>
      <c r="M62" s="493">
        <f t="shared" si="25"/>
        <v>0</v>
      </c>
    </row>
    <row r="63" spans="1:13" s="296" customFormat="1">
      <c r="A63" s="192" t="s">
        <v>189</v>
      </c>
      <c r="B63" s="68"/>
      <c r="C63" s="155">
        <f>SUM(C23,C41,C59)</f>
        <v>0</v>
      </c>
      <c r="D63" s="156">
        <f t="shared" ref="D63:M63" si="26">SUM(D23,D41,D59)</f>
        <v>0</v>
      </c>
      <c r="E63" s="157">
        <f t="shared" si="26"/>
        <v>0</v>
      </c>
      <c r="F63" s="158">
        <f t="shared" si="26"/>
        <v>0</v>
      </c>
      <c r="G63" s="156">
        <f t="shared" si="26"/>
        <v>0</v>
      </c>
      <c r="H63" s="157">
        <f t="shared" si="26"/>
        <v>0</v>
      </c>
      <c r="I63" s="158">
        <f t="shared" si="26"/>
        <v>0</v>
      </c>
      <c r="J63" s="156">
        <f t="shared" si="26"/>
        <v>0</v>
      </c>
      <c r="K63" s="157">
        <f t="shared" si="26"/>
        <v>0</v>
      </c>
      <c r="L63" s="157">
        <f t="shared" si="26"/>
        <v>0</v>
      </c>
      <c r="M63" s="158">
        <f t="shared" si="26"/>
        <v>0</v>
      </c>
    </row>
    <row r="64" spans="1:13" s="296" customFormat="1">
      <c r="A64" s="494" t="s">
        <v>133</v>
      </c>
      <c r="B64" s="259"/>
      <c r="C64" s="285">
        <f>-SUM(C24,C42,C60)</f>
        <v>0</v>
      </c>
      <c r="D64" s="166">
        <f t="shared" ref="D64:M64" si="27">-SUM(D24,D42,D60)</f>
        <v>0</v>
      </c>
      <c r="E64" s="167">
        <f t="shared" si="27"/>
        <v>0</v>
      </c>
      <c r="F64" s="168">
        <f t="shared" si="27"/>
        <v>0</v>
      </c>
      <c r="G64" s="166">
        <f t="shared" si="27"/>
        <v>0</v>
      </c>
      <c r="H64" s="167">
        <f t="shared" si="27"/>
        <v>0</v>
      </c>
      <c r="I64" s="168">
        <f t="shared" si="27"/>
        <v>0</v>
      </c>
      <c r="J64" s="166">
        <f t="shared" si="27"/>
        <v>0</v>
      </c>
      <c r="K64" s="167">
        <f t="shared" si="27"/>
        <v>0</v>
      </c>
      <c r="L64" s="167">
        <f t="shared" si="27"/>
        <v>0</v>
      </c>
      <c r="M64" s="168">
        <f t="shared" si="27"/>
        <v>0</v>
      </c>
    </row>
    <row r="65" spans="1:13" s="296" customFormat="1" ht="13.5" thickBot="1">
      <c r="A65" s="126" t="s">
        <v>5</v>
      </c>
      <c r="B65" s="71"/>
      <c r="C65" s="281">
        <f t="shared" ref="C65:M65" si="28">SUM(C62:C64)</f>
        <v>0</v>
      </c>
      <c r="D65" s="282">
        <f t="shared" si="28"/>
        <v>0</v>
      </c>
      <c r="E65" s="256">
        <f t="shared" si="28"/>
        <v>0</v>
      </c>
      <c r="F65" s="257">
        <f t="shared" si="28"/>
        <v>0</v>
      </c>
      <c r="G65" s="282">
        <f t="shared" si="28"/>
        <v>0</v>
      </c>
      <c r="H65" s="256">
        <f t="shared" si="28"/>
        <v>0</v>
      </c>
      <c r="I65" s="257">
        <f t="shared" si="28"/>
        <v>0</v>
      </c>
      <c r="J65" s="282">
        <f t="shared" si="28"/>
        <v>0</v>
      </c>
      <c r="K65" s="256">
        <f t="shared" si="28"/>
        <v>0</v>
      </c>
      <c r="L65" s="256">
        <f t="shared" si="28"/>
        <v>0</v>
      </c>
      <c r="M65" s="257">
        <f t="shared" si="28"/>
        <v>0</v>
      </c>
    </row>
    <row r="66" spans="1:13" s="296" customFormat="1" ht="13.5" thickBot="1">
      <c r="A66" s="217" t="s">
        <v>2</v>
      </c>
      <c r="B66" s="214"/>
      <c r="C66" s="223"/>
      <c r="D66" s="264"/>
      <c r="E66" s="220"/>
      <c r="F66" s="221"/>
      <c r="G66" s="264"/>
      <c r="H66" s="220"/>
      <c r="I66" s="221"/>
      <c r="J66" s="264"/>
      <c r="K66" s="220"/>
      <c r="L66" s="220"/>
      <c r="M66" s="221"/>
    </row>
    <row r="67" spans="1:13" s="296" customFormat="1">
      <c r="A67" s="192" t="s">
        <v>118</v>
      </c>
      <c r="B67" s="68"/>
      <c r="C67" s="239">
        <v>25</v>
      </c>
      <c r="D67" s="231">
        <f t="shared" ref="D67:M67" si="29">$C$67*(1+$B$8)^D4</f>
        <v>25.75</v>
      </c>
      <c r="E67" s="218">
        <f t="shared" si="29"/>
        <v>26.522499999999997</v>
      </c>
      <c r="F67" s="219">
        <f t="shared" si="29"/>
        <v>27.318175</v>
      </c>
      <c r="G67" s="231">
        <f t="shared" si="29"/>
        <v>28.137720249999997</v>
      </c>
      <c r="H67" s="218">
        <f t="shared" si="29"/>
        <v>28.981851857499997</v>
      </c>
      <c r="I67" s="219">
        <f t="shared" si="29"/>
        <v>29.851307413224998</v>
      </c>
      <c r="J67" s="231">
        <f t="shared" si="29"/>
        <v>30.74684663562175</v>
      </c>
      <c r="K67" s="218">
        <f t="shared" si="29"/>
        <v>31.669252034690398</v>
      </c>
      <c r="L67" s="218">
        <f t="shared" si="29"/>
        <v>32.619329595731109</v>
      </c>
      <c r="M67" s="219">
        <f t="shared" si="29"/>
        <v>33.597909483603047</v>
      </c>
    </row>
    <row r="68" spans="1:13" s="296" customFormat="1">
      <c r="A68" s="192" t="s">
        <v>13</v>
      </c>
      <c r="B68" s="68"/>
      <c r="C68" s="277" t="e">
        <f>C69/SUM($C$69:$M$69)</f>
        <v>#DIV/0!</v>
      </c>
      <c r="D68" s="278" t="e">
        <f t="shared" ref="D68:M68" si="30">D69/SUM($C$69:$M$69)</f>
        <v>#DIV/0!</v>
      </c>
      <c r="E68" s="205" t="e">
        <f t="shared" si="30"/>
        <v>#DIV/0!</v>
      </c>
      <c r="F68" s="261" t="e">
        <f t="shared" si="30"/>
        <v>#DIV/0!</v>
      </c>
      <c r="G68" s="278" t="e">
        <f t="shared" si="30"/>
        <v>#DIV/0!</v>
      </c>
      <c r="H68" s="205" t="e">
        <f t="shared" si="30"/>
        <v>#DIV/0!</v>
      </c>
      <c r="I68" s="261" t="e">
        <f t="shared" si="30"/>
        <v>#DIV/0!</v>
      </c>
      <c r="J68" s="278" t="e">
        <f t="shared" si="30"/>
        <v>#DIV/0!</v>
      </c>
      <c r="K68" s="205" t="e">
        <f t="shared" si="30"/>
        <v>#DIV/0!</v>
      </c>
      <c r="L68" s="205" t="e">
        <f t="shared" si="30"/>
        <v>#DIV/0!</v>
      </c>
      <c r="M68" s="261" t="e">
        <f t="shared" si="30"/>
        <v>#DIV/0!</v>
      </c>
    </row>
    <row r="69" spans="1:13" s="296" customFormat="1">
      <c r="A69" s="192" t="s">
        <v>2</v>
      </c>
      <c r="B69" s="68"/>
      <c r="C69" s="176">
        <f>'Development Schedule'!D85*'11.Surface Parking'!C67</f>
        <v>0</v>
      </c>
      <c r="D69" s="331">
        <f>'Development Schedule'!E85*'11.Surface Parking'!D67</f>
        <v>0</v>
      </c>
      <c r="E69" s="332">
        <f>'Development Schedule'!F85*'11.Surface Parking'!E67</f>
        <v>0</v>
      </c>
      <c r="F69" s="333">
        <f>'Development Schedule'!G85*'11.Surface Parking'!F67</f>
        <v>0</v>
      </c>
      <c r="G69" s="331">
        <f>'Development Schedule'!H85*'11.Surface Parking'!G67</f>
        <v>0</v>
      </c>
      <c r="H69" s="332">
        <f>'Development Schedule'!I85*'11.Surface Parking'!H67</f>
        <v>0</v>
      </c>
      <c r="I69" s="333">
        <f>'Development Schedule'!J85*'11.Surface Parking'!I67</f>
        <v>0</v>
      </c>
      <c r="J69" s="331">
        <f>'Development Schedule'!K85*'11.Surface Parking'!J67</f>
        <v>0</v>
      </c>
      <c r="K69" s="332">
        <f>'Development Schedule'!L85*'11.Surface Parking'!K67</f>
        <v>0</v>
      </c>
      <c r="L69" s="332">
        <f>'Development Schedule'!M85*'11.Surface Parking'!L67</f>
        <v>0</v>
      </c>
      <c r="M69" s="333">
        <f>'Development Schedule'!N85*'11.Surface Parking'!M67</f>
        <v>0</v>
      </c>
    </row>
    <row r="70" spans="1:13" s="296" customFormat="1">
      <c r="A70" s="254" t="s">
        <v>14</v>
      </c>
      <c r="B70" s="259"/>
      <c r="C70" s="184"/>
      <c r="D70" s="280"/>
      <c r="E70" s="260"/>
      <c r="F70" s="263"/>
      <c r="G70" s="280"/>
      <c r="H70" s="260"/>
      <c r="I70" s="263"/>
      <c r="J70" s="280"/>
      <c r="K70" s="260"/>
      <c r="L70" s="260"/>
      <c r="M70" s="263"/>
    </row>
    <row r="71" spans="1:13" s="296" customFormat="1" ht="13.5" thickBot="1">
      <c r="A71" s="495" t="s">
        <v>3</v>
      </c>
      <c r="B71" s="71"/>
      <c r="C71" s="282">
        <f>SUM(C69:C70)</f>
        <v>0</v>
      </c>
      <c r="D71" s="282">
        <f t="shared" ref="D71:M71" si="31">SUM(D69:D70)</f>
        <v>0</v>
      </c>
      <c r="E71" s="256">
        <f t="shared" si="31"/>
        <v>0</v>
      </c>
      <c r="F71" s="257">
        <f t="shared" si="31"/>
        <v>0</v>
      </c>
      <c r="G71" s="282">
        <f t="shared" si="31"/>
        <v>0</v>
      </c>
      <c r="H71" s="256">
        <f t="shared" si="31"/>
        <v>0</v>
      </c>
      <c r="I71" s="257">
        <f t="shared" si="31"/>
        <v>0</v>
      </c>
      <c r="J71" s="282">
        <f t="shared" si="31"/>
        <v>0</v>
      </c>
      <c r="K71" s="256">
        <f t="shared" si="31"/>
        <v>0</v>
      </c>
      <c r="L71" s="256">
        <f t="shared" si="31"/>
        <v>0</v>
      </c>
      <c r="M71" s="257">
        <f t="shared" si="31"/>
        <v>0</v>
      </c>
    </row>
    <row r="72" spans="1:13" s="296" customFormat="1" ht="13.5" thickBot="1">
      <c r="A72" s="217" t="s">
        <v>4</v>
      </c>
      <c r="B72" s="214"/>
      <c r="C72" s="223"/>
      <c r="D72" s="264"/>
      <c r="E72" s="220"/>
      <c r="F72" s="221"/>
      <c r="G72" s="264"/>
      <c r="H72" s="220"/>
      <c r="I72" s="221"/>
      <c r="J72" s="264"/>
      <c r="K72" s="220"/>
      <c r="L72" s="220"/>
      <c r="M72" s="221"/>
    </row>
    <row r="73" spans="1:13" s="296" customFormat="1">
      <c r="A73" s="192" t="s">
        <v>5</v>
      </c>
      <c r="B73" s="68"/>
      <c r="C73" s="154">
        <f>C65</f>
        <v>0</v>
      </c>
      <c r="D73" s="279">
        <f t="shared" ref="D73:M73" si="32">D65</f>
        <v>0</v>
      </c>
      <c r="E73" s="248">
        <f t="shared" si="32"/>
        <v>0</v>
      </c>
      <c r="F73" s="262">
        <f t="shared" si="32"/>
        <v>0</v>
      </c>
      <c r="G73" s="279">
        <f t="shared" si="32"/>
        <v>0</v>
      </c>
      <c r="H73" s="248">
        <f t="shared" si="32"/>
        <v>0</v>
      </c>
      <c r="I73" s="262">
        <f t="shared" si="32"/>
        <v>0</v>
      </c>
      <c r="J73" s="279">
        <f t="shared" si="32"/>
        <v>0</v>
      </c>
      <c r="K73" s="248">
        <f t="shared" si="32"/>
        <v>0</v>
      </c>
      <c r="L73" s="248">
        <f t="shared" si="32"/>
        <v>0</v>
      </c>
      <c r="M73" s="262">
        <f t="shared" si="32"/>
        <v>0</v>
      </c>
    </row>
    <row r="74" spans="1:13" s="296" customFormat="1">
      <c r="A74" s="192" t="s">
        <v>60</v>
      </c>
      <c r="B74" s="119">
        <f>D89</f>
        <v>0.11</v>
      </c>
      <c r="C74" s="159">
        <v>0</v>
      </c>
      <c r="D74" s="269">
        <f>C74</f>
        <v>0</v>
      </c>
      <c r="E74" s="258">
        <f t="shared" ref="E74:L75" si="33">D74</f>
        <v>0</v>
      </c>
      <c r="F74" s="270">
        <f t="shared" si="33"/>
        <v>0</v>
      </c>
      <c r="G74" s="269">
        <f t="shared" si="33"/>
        <v>0</v>
      </c>
      <c r="H74" s="258">
        <f t="shared" si="33"/>
        <v>0</v>
      </c>
      <c r="I74" s="270">
        <f t="shared" si="33"/>
        <v>0</v>
      </c>
      <c r="J74" s="269">
        <f t="shared" si="33"/>
        <v>0</v>
      </c>
      <c r="K74" s="258">
        <f t="shared" si="33"/>
        <v>0</v>
      </c>
      <c r="L74" s="258">
        <f t="shared" si="33"/>
        <v>0</v>
      </c>
      <c r="M74" s="270">
        <f>M73/B74</f>
        <v>0</v>
      </c>
    </row>
    <row r="75" spans="1:13" s="296" customFormat="1">
      <c r="A75" s="192" t="s">
        <v>61</v>
      </c>
      <c r="B75" s="119">
        <f>D90</f>
        <v>0.03</v>
      </c>
      <c r="C75" s="159">
        <v>0</v>
      </c>
      <c r="D75" s="269">
        <f>C75</f>
        <v>0</v>
      </c>
      <c r="E75" s="258">
        <f t="shared" si="33"/>
        <v>0</v>
      </c>
      <c r="F75" s="270">
        <f t="shared" si="33"/>
        <v>0</v>
      </c>
      <c r="G75" s="269">
        <f t="shared" si="33"/>
        <v>0</v>
      </c>
      <c r="H75" s="258">
        <f t="shared" si="33"/>
        <v>0</v>
      </c>
      <c r="I75" s="270">
        <f t="shared" si="33"/>
        <v>0</v>
      </c>
      <c r="J75" s="269">
        <f t="shared" si="33"/>
        <v>0</v>
      </c>
      <c r="K75" s="258">
        <f t="shared" si="33"/>
        <v>0</v>
      </c>
      <c r="L75" s="258">
        <f t="shared" si="33"/>
        <v>0</v>
      </c>
      <c r="M75" s="270">
        <f>M74*-B75</f>
        <v>0</v>
      </c>
    </row>
    <row r="76" spans="1:13" s="296" customFormat="1">
      <c r="A76" s="254" t="s">
        <v>119</v>
      </c>
      <c r="B76" s="327"/>
      <c r="C76" s="285">
        <f>-C71</f>
        <v>0</v>
      </c>
      <c r="D76" s="286">
        <f t="shared" ref="D76:M76" si="34">-D71</f>
        <v>0</v>
      </c>
      <c r="E76" s="252">
        <f t="shared" si="34"/>
        <v>0</v>
      </c>
      <c r="F76" s="255">
        <f t="shared" si="34"/>
        <v>0</v>
      </c>
      <c r="G76" s="286">
        <f t="shared" si="34"/>
        <v>0</v>
      </c>
      <c r="H76" s="252">
        <f t="shared" si="34"/>
        <v>0</v>
      </c>
      <c r="I76" s="255">
        <f t="shared" si="34"/>
        <v>0</v>
      </c>
      <c r="J76" s="286">
        <f t="shared" si="34"/>
        <v>0</v>
      </c>
      <c r="K76" s="252">
        <f t="shared" si="34"/>
        <v>0</v>
      </c>
      <c r="L76" s="252">
        <f t="shared" si="34"/>
        <v>0</v>
      </c>
      <c r="M76" s="255">
        <f t="shared" si="34"/>
        <v>0</v>
      </c>
    </row>
    <row r="77" spans="1:13" s="296" customFormat="1" ht="13.5" thickBot="1">
      <c r="A77" s="495" t="s">
        <v>6</v>
      </c>
      <c r="B77" s="128"/>
      <c r="C77" s="281">
        <f>SUM(C73:C76)</f>
        <v>0</v>
      </c>
      <c r="D77" s="282">
        <f t="shared" ref="D77:M77" si="35">SUM(D73:D76)</f>
        <v>0</v>
      </c>
      <c r="E77" s="256">
        <f t="shared" si="35"/>
        <v>0</v>
      </c>
      <c r="F77" s="257">
        <f t="shared" si="35"/>
        <v>0</v>
      </c>
      <c r="G77" s="282">
        <f t="shared" si="35"/>
        <v>0</v>
      </c>
      <c r="H77" s="256">
        <f t="shared" si="35"/>
        <v>0</v>
      </c>
      <c r="I77" s="257">
        <f t="shared" si="35"/>
        <v>0</v>
      </c>
      <c r="J77" s="282">
        <f t="shared" si="35"/>
        <v>0</v>
      </c>
      <c r="K77" s="256">
        <f t="shared" si="35"/>
        <v>0</v>
      </c>
      <c r="L77" s="256">
        <f t="shared" si="35"/>
        <v>0</v>
      </c>
      <c r="M77" s="257">
        <f t="shared" si="35"/>
        <v>0</v>
      </c>
    </row>
    <row r="78" spans="1:13" s="296" customFormat="1" ht="13.5" thickBot="1">
      <c r="A78" s="125" t="s">
        <v>27</v>
      </c>
      <c r="B78" s="116"/>
      <c r="C78" s="409">
        <f>C77+NPV(D91,D77:M77)</f>
        <v>0</v>
      </c>
      <c r="D78" s="406"/>
      <c r="E78" s="407"/>
      <c r="F78" s="408"/>
      <c r="G78" s="406"/>
      <c r="H78" s="407"/>
      <c r="I78" s="408"/>
      <c r="J78" s="118"/>
      <c r="K78" s="118"/>
      <c r="L78" s="118"/>
      <c r="M78" s="207"/>
    </row>
    <row r="79" spans="1:13" ht="13.5" thickBot="1">
      <c r="A79" s="91" t="s">
        <v>62</v>
      </c>
      <c r="B79" s="169"/>
      <c r="C79" s="292" t="e">
        <f>IRR(C77:M77,0)</f>
        <v>#NUM!</v>
      </c>
      <c r="D79" s="273"/>
      <c r="E79" s="169"/>
      <c r="F79" s="191"/>
      <c r="G79" s="273"/>
      <c r="H79" s="169"/>
      <c r="I79" s="191"/>
      <c r="J79" s="169"/>
      <c r="K79" s="169"/>
      <c r="L79" s="169"/>
      <c r="M79" s="191"/>
    </row>
    <row r="80" spans="1:13" ht="13.5" thickBot="1">
      <c r="A80" s="91"/>
      <c r="B80" s="169"/>
      <c r="C80" s="431"/>
      <c r="D80" s="169"/>
      <c r="E80" s="68"/>
      <c r="F80" s="68"/>
      <c r="G80" s="68"/>
      <c r="H80" s="68"/>
      <c r="I80" s="68"/>
      <c r="J80" s="68"/>
      <c r="K80" s="68"/>
      <c r="L80" s="68"/>
      <c r="M80" s="68"/>
    </row>
    <row r="81" spans="1:13" ht="13.5" thickBot="1">
      <c r="A81" s="202" t="s">
        <v>110</v>
      </c>
      <c r="B81" s="175"/>
      <c r="C81" s="175"/>
      <c r="D81" s="201"/>
      <c r="E81" s="296"/>
      <c r="F81" s="296"/>
      <c r="G81" s="296"/>
      <c r="H81" s="296"/>
      <c r="I81" s="296"/>
      <c r="J81" s="296"/>
      <c r="K81" s="296"/>
      <c r="L81" s="296"/>
      <c r="M81" s="296"/>
    </row>
    <row r="82" spans="1:13" ht="13.5" thickBot="1">
      <c r="A82" s="89"/>
      <c r="B82" s="169"/>
      <c r="C82" s="94" t="s">
        <v>185</v>
      </c>
      <c r="D82" s="95" t="s">
        <v>109</v>
      </c>
      <c r="E82" s="296"/>
      <c r="F82" s="296"/>
      <c r="G82" s="296"/>
      <c r="H82" s="296"/>
      <c r="I82" s="296"/>
      <c r="J82" s="296"/>
      <c r="K82" s="296"/>
      <c r="L82" s="296"/>
      <c r="M82" s="296"/>
    </row>
    <row r="83" spans="1:13">
      <c r="A83" s="67" t="s">
        <v>391</v>
      </c>
      <c r="B83" s="68"/>
      <c r="C83" s="203">
        <f>D83/$D$88</f>
        <v>0</v>
      </c>
      <c r="D83" s="479">
        <f>'Development Schedule'!D85</f>
        <v>0</v>
      </c>
      <c r="E83" s="296"/>
      <c r="F83" s="296"/>
      <c r="G83" s="296"/>
      <c r="H83" s="296"/>
      <c r="I83" s="296"/>
      <c r="J83" s="296"/>
      <c r="K83" s="296"/>
      <c r="L83" s="296"/>
      <c r="M83" s="296"/>
    </row>
    <row r="84" spans="1:13">
      <c r="A84" s="67"/>
      <c r="B84" s="68"/>
      <c r="C84" s="203">
        <f>D84/$D$88</f>
        <v>0</v>
      </c>
      <c r="D84" s="246"/>
      <c r="E84" s="296"/>
      <c r="F84" s="296"/>
      <c r="G84" s="296"/>
      <c r="H84" s="296"/>
      <c r="I84" s="296"/>
      <c r="J84" s="296"/>
      <c r="K84" s="296"/>
      <c r="L84" s="296"/>
      <c r="M84" s="296"/>
    </row>
    <row r="85" spans="1:13" ht="13.5" thickBot="1">
      <c r="A85" s="70"/>
      <c r="B85" s="71"/>
      <c r="C85" s="294">
        <f>D85/$D$88</f>
        <v>0</v>
      </c>
      <c r="D85" s="247"/>
      <c r="E85" s="296"/>
      <c r="F85" s="296"/>
      <c r="G85" s="296"/>
      <c r="H85" s="296"/>
      <c r="I85" s="296"/>
      <c r="J85" s="296"/>
      <c r="K85" s="296"/>
      <c r="L85" s="296"/>
      <c r="M85" s="296"/>
    </row>
    <row r="86" spans="1:13" ht="13.5" thickBot="1">
      <c r="A86" s="39"/>
      <c r="B86" s="61"/>
      <c r="C86" s="61"/>
      <c r="D86" s="39"/>
      <c r="E86" s="296"/>
      <c r="F86" s="296"/>
      <c r="G86" s="296"/>
      <c r="H86" s="296"/>
      <c r="I86" s="296"/>
      <c r="J86" s="296"/>
      <c r="K86" s="296"/>
      <c r="L86" s="296"/>
      <c r="M86" s="296"/>
    </row>
    <row r="87" spans="1:13" ht="13.5" thickBot="1">
      <c r="A87" s="202" t="s">
        <v>120</v>
      </c>
      <c r="B87" s="275"/>
      <c r="C87" s="275"/>
      <c r="D87" s="276"/>
      <c r="E87" s="296"/>
      <c r="F87" s="296"/>
      <c r="G87" s="296"/>
      <c r="H87" s="296"/>
      <c r="I87" s="296"/>
      <c r="J87" s="296"/>
      <c r="K87" s="296"/>
      <c r="L87" s="296"/>
      <c r="M87" s="296"/>
    </row>
    <row r="88" spans="1:13">
      <c r="A88" s="67" t="s">
        <v>186</v>
      </c>
      <c r="B88" s="68"/>
      <c r="C88" s="68"/>
      <c r="D88" s="140">
        <v>320</v>
      </c>
      <c r="E88" s="296"/>
      <c r="F88" s="296"/>
      <c r="G88" s="296"/>
      <c r="H88" s="296"/>
      <c r="I88" s="296"/>
      <c r="J88" s="296"/>
      <c r="K88" s="296"/>
      <c r="L88" s="296"/>
      <c r="M88" s="296"/>
    </row>
    <row r="89" spans="1:13">
      <c r="A89" s="67" t="s">
        <v>121</v>
      </c>
      <c r="B89" s="68"/>
      <c r="C89" s="68"/>
      <c r="D89" s="400">
        <v>0.11</v>
      </c>
      <c r="E89" s="296"/>
      <c r="F89" s="296"/>
      <c r="G89" s="296"/>
      <c r="H89" s="296"/>
      <c r="I89" s="296"/>
      <c r="J89" s="296"/>
      <c r="K89" s="296"/>
      <c r="L89" s="296"/>
      <c r="M89" s="296"/>
    </row>
    <row r="90" spans="1:13">
      <c r="A90" s="67" t="s">
        <v>122</v>
      </c>
      <c r="B90" s="68"/>
      <c r="C90" s="68"/>
      <c r="D90" s="400">
        <v>0.03</v>
      </c>
      <c r="E90" s="296"/>
      <c r="F90" s="296"/>
      <c r="G90" s="296"/>
      <c r="H90" s="296"/>
      <c r="I90" s="296"/>
      <c r="J90" s="296"/>
      <c r="K90" s="296"/>
      <c r="L90" s="296"/>
      <c r="M90" s="296"/>
    </row>
    <row r="91" spans="1:13" ht="13.5" thickBot="1">
      <c r="A91" s="70" t="s">
        <v>106</v>
      </c>
      <c r="B91" s="71"/>
      <c r="C91" s="71"/>
      <c r="D91" s="141">
        <v>0.09</v>
      </c>
      <c r="E91" s="296"/>
      <c r="F91" s="296"/>
      <c r="G91" s="296"/>
      <c r="H91" s="296"/>
      <c r="I91" s="296"/>
      <c r="J91" s="296"/>
      <c r="K91" s="296"/>
      <c r="L91" s="296"/>
      <c r="M91" s="296"/>
    </row>
    <row r="92" spans="1:13">
      <c r="A92" s="296"/>
      <c r="B92" s="297"/>
      <c r="C92" s="297"/>
      <c r="D92" s="296"/>
      <c r="E92" s="296"/>
      <c r="F92" s="296"/>
      <c r="G92" s="296"/>
      <c r="H92" s="296"/>
      <c r="I92" s="296"/>
      <c r="J92" s="296"/>
      <c r="K92" s="296"/>
      <c r="L92" s="296"/>
      <c r="M92" s="296"/>
    </row>
    <row r="93" spans="1:13">
      <c r="A93" s="296"/>
    </row>
  </sheetData>
  <printOptions horizontalCentered="1"/>
  <pageMargins left="0.5" right="0.5" top="1" bottom="0.5" header="0.5" footer="0.5"/>
  <pageSetup scale="48" orientation="landscape" r:id="rId1"/>
  <headerFooter alignWithMargins="0">
    <oddHeader>&amp;L&amp;"Arial,Bold"8. Income Statement: Structured Parking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1:A5"/>
    </sheetView>
  </sheetViews>
  <sheetFormatPr defaultColWidth="9.140625" defaultRowHeight="12.75"/>
  <cols>
    <col min="1" max="16384" width="9.140625" style="38"/>
  </cols>
  <sheetData>
    <row r="1" spans="1:1">
      <c r="A1" s="39" t="s">
        <v>424</v>
      </c>
    </row>
    <row r="2" spans="1:1">
      <c r="A2" s="39" t="s">
        <v>425</v>
      </c>
    </row>
    <row r="3" spans="1:1">
      <c r="A3" s="39" t="s">
        <v>427</v>
      </c>
    </row>
    <row r="4" spans="1:1">
      <c r="A4" s="39" t="s">
        <v>426</v>
      </c>
    </row>
    <row r="5" spans="1:1">
      <c r="A5" s="39" t="s">
        <v>428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BreakPreview" zoomScale="70" zoomScaleNormal="55" zoomScaleSheetLayoutView="70" workbookViewId="0">
      <selection activeCell="C73" sqref="C73"/>
    </sheetView>
  </sheetViews>
  <sheetFormatPr defaultColWidth="9.140625" defaultRowHeight="12.75"/>
  <cols>
    <col min="1" max="1" width="32.28515625" style="38" customWidth="1"/>
    <col min="2" max="2" width="24.5703125" style="38" customWidth="1"/>
    <col min="3" max="3" width="12.85546875" style="38" customWidth="1"/>
    <col min="4" max="14" width="13.7109375" style="38" customWidth="1"/>
    <col min="15" max="16384" width="9.140625" style="38"/>
  </cols>
  <sheetData>
    <row r="1" spans="1:14">
      <c r="A1" s="54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ht="13.5" thickBot="1">
      <c r="A2" s="57" t="s">
        <v>82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4" ht="13.5" thickBot="1">
      <c r="A3" s="51"/>
      <c r="B3" s="52"/>
      <c r="C3" s="52"/>
      <c r="D3" s="53" t="s">
        <v>58</v>
      </c>
      <c r="E3" s="40" t="s">
        <v>37</v>
      </c>
      <c r="F3" s="41"/>
      <c r="G3" s="42"/>
      <c r="H3" s="40" t="s">
        <v>80</v>
      </c>
      <c r="I3" s="78"/>
      <c r="J3" s="43"/>
      <c r="K3" s="40" t="s">
        <v>81</v>
      </c>
      <c r="L3" s="44"/>
      <c r="M3" s="45"/>
      <c r="N3" s="46"/>
    </row>
    <row r="4" spans="1:14" ht="13.5" thickBot="1">
      <c r="A4" s="47"/>
      <c r="B4" s="48" t="s">
        <v>85</v>
      </c>
      <c r="C4" s="48" t="s">
        <v>84</v>
      </c>
      <c r="D4" s="432" t="s">
        <v>311</v>
      </c>
      <c r="E4" s="311">
        <v>2019</v>
      </c>
      <c r="F4" s="48">
        <f>E4+1</f>
        <v>2020</v>
      </c>
      <c r="G4" s="48">
        <f t="shared" ref="G4:L4" si="0">F4+1</f>
        <v>2021</v>
      </c>
      <c r="H4" s="49">
        <f t="shared" si="0"/>
        <v>2022</v>
      </c>
      <c r="I4" s="48">
        <f t="shared" si="0"/>
        <v>2023</v>
      </c>
      <c r="J4" s="50">
        <f t="shared" si="0"/>
        <v>2024</v>
      </c>
      <c r="K4" s="49">
        <f t="shared" si="0"/>
        <v>2025</v>
      </c>
      <c r="L4" s="48">
        <f t="shared" si="0"/>
        <v>2026</v>
      </c>
      <c r="M4" s="48">
        <f>L4+1</f>
        <v>2027</v>
      </c>
      <c r="N4" s="50">
        <f>M4+1</f>
        <v>2028</v>
      </c>
    </row>
    <row r="5" spans="1:14" ht="4.5" customHeight="1">
      <c r="A5" s="139"/>
      <c r="B5" s="76"/>
      <c r="C5" s="76"/>
      <c r="D5" s="895"/>
      <c r="E5" s="64"/>
      <c r="F5" s="64"/>
      <c r="G5" s="64"/>
      <c r="H5" s="63"/>
      <c r="I5" s="64"/>
      <c r="J5" s="65"/>
      <c r="K5" s="63"/>
      <c r="L5" s="64"/>
      <c r="M5" s="64"/>
      <c r="N5" s="65"/>
    </row>
    <row r="6" spans="1:14">
      <c r="A6" s="66" t="s">
        <v>336</v>
      </c>
      <c r="B6" s="64"/>
      <c r="C6" s="64"/>
      <c r="D6" s="100"/>
      <c r="E6" s="98"/>
      <c r="F6" s="98"/>
      <c r="H6" s="99"/>
      <c r="I6" s="98"/>
      <c r="J6" s="100"/>
      <c r="K6" s="99"/>
      <c r="L6" s="98"/>
      <c r="M6" s="98"/>
      <c r="N6" s="100"/>
    </row>
    <row r="7" spans="1:14">
      <c r="A7" s="67" t="s">
        <v>68</v>
      </c>
      <c r="B7" s="68" t="s">
        <v>68</v>
      </c>
      <c r="C7" s="949">
        <v>416380</v>
      </c>
      <c r="D7" s="100"/>
      <c r="E7" s="69">
        <f>C7*(2/3)</f>
        <v>277586.66666666663</v>
      </c>
      <c r="F7" s="98">
        <f>C7*(1/3)</f>
        <v>138793.33333333331</v>
      </c>
      <c r="H7" s="99"/>
      <c r="I7" s="98"/>
      <c r="J7" s="100"/>
      <c r="K7" s="99"/>
      <c r="L7" s="98"/>
      <c r="M7" s="98"/>
      <c r="N7" s="100"/>
    </row>
    <row r="8" spans="1:14">
      <c r="A8" s="67" t="s">
        <v>49</v>
      </c>
      <c r="B8" s="68" t="s">
        <v>332</v>
      </c>
      <c r="C8" s="949">
        <f>347567-C9</f>
        <v>332567</v>
      </c>
      <c r="D8" s="100"/>
      <c r="E8" s="69">
        <f>C8*(2/3)</f>
        <v>221711.33333333331</v>
      </c>
      <c r="F8" s="69">
        <f>C8*(1/3)</f>
        <v>110855.66666666666</v>
      </c>
      <c r="H8" s="99"/>
      <c r="I8" s="98"/>
      <c r="J8" s="100"/>
      <c r="K8" s="99"/>
      <c r="L8" s="98"/>
      <c r="M8" s="98"/>
      <c r="N8" s="100"/>
    </row>
    <row r="9" spans="1:14">
      <c r="A9" s="67" t="s">
        <v>331</v>
      </c>
      <c r="B9" s="68" t="s">
        <v>48</v>
      </c>
      <c r="C9" s="837">
        <v>15000</v>
      </c>
      <c r="D9" s="100"/>
      <c r="E9" s="69">
        <f t="shared" ref="E9:E15" si="1">C9</f>
        <v>15000</v>
      </c>
      <c r="F9" s="98"/>
      <c r="H9" s="99"/>
      <c r="I9" s="98"/>
      <c r="J9" s="100"/>
      <c r="K9" s="99"/>
      <c r="L9" s="98"/>
      <c r="M9" s="98"/>
      <c r="N9" s="100"/>
    </row>
    <row r="10" spans="1:14">
      <c r="A10" s="67" t="s">
        <v>86</v>
      </c>
      <c r="B10" s="68" t="s">
        <v>50</v>
      </c>
      <c r="C10" s="837">
        <f>198857.8-C11</f>
        <v>168857.8</v>
      </c>
      <c r="D10" s="100"/>
      <c r="E10" s="69">
        <f t="shared" si="1"/>
        <v>168857.8</v>
      </c>
      <c r="F10" s="98"/>
      <c r="H10" s="99"/>
      <c r="I10" s="98"/>
      <c r="J10" s="100"/>
      <c r="K10" s="99"/>
      <c r="L10" s="98"/>
      <c r="M10" s="98"/>
      <c r="N10" s="100"/>
    </row>
    <row r="11" spans="1:14">
      <c r="A11" s="67" t="s">
        <v>87</v>
      </c>
      <c r="B11" s="68" t="s">
        <v>48</v>
      </c>
      <c r="C11" s="837">
        <v>30000</v>
      </c>
      <c r="D11" s="100"/>
      <c r="E11" s="69">
        <f t="shared" si="1"/>
        <v>30000</v>
      </c>
      <c r="F11" s="98"/>
      <c r="H11" s="99"/>
      <c r="I11" s="98"/>
      <c r="J11" s="100"/>
      <c r="K11" s="99"/>
      <c r="L11" s="98"/>
      <c r="M11" s="98"/>
      <c r="N11" s="100"/>
    </row>
    <row r="12" spans="1:14">
      <c r="A12" s="67" t="s">
        <v>329</v>
      </c>
      <c r="B12" s="872" t="s">
        <v>96</v>
      </c>
      <c r="C12" s="837">
        <f>450381-C13-C10-C11</f>
        <v>241523.20000000001</v>
      </c>
      <c r="D12" s="100"/>
      <c r="E12" s="69">
        <f t="shared" si="1"/>
        <v>241523.20000000001</v>
      </c>
      <c r="F12" s="98"/>
      <c r="H12" s="99"/>
      <c r="I12" s="98"/>
      <c r="J12" s="100"/>
      <c r="K12" s="99"/>
      <c r="L12" s="98"/>
      <c r="M12" s="98"/>
      <c r="N12" s="100"/>
    </row>
    <row r="13" spans="1:14">
      <c r="A13" s="67" t="s">
        <v>329</v>
      </c>
      <c r="B13" s="872" t="s">
        <v>410</v>
      </c>
      <c r="C13" s="837">
        <v>10000</v>
      </c>
      <c r="D13" s="100"/>
      <c r="E13" s="69">
        <f>C13</f>
        <v>10000</v>
      </c>
      <c r="F13" s="98"/>
      <c r="H13" s="99"/>
      <c r="I13" s="98"/>
      <c r="J13" s="100"/>
      <c r="K13" s="99"/>
      <c r="L13" s="98"/>
      <c r="M13" s="98"/>
      <c r="N13" s="100"/>
    </row>
    <row r="14" spans="1:14">
      <c r="A14" s="844" t="s">
        <v>349</v>
      </c>
      <c r="B14" s="68" t="s">
        <v>88</v>
      </c>
      <c r="C14" s="837">
        <v>85000</v>
      </c>
      <c r="D14" s="100"/>
      <c r="E14" s="98">
        <f>C14</f>
        <v>85000</v>
      </c>
      <c r="F14" s="98"/>
      <c r="H14" s="73"/>
      <c r="I14" s="98"/>
      <c r="J14" s="100"/>
      <c r="K14" s="99"/>
      <c r="L14" s="98"/>
      <c r="M14" s="98"/>
      <c r="N14" s="100"/>
    </row>
    <row r="15" spans="1:14">
      <c r="A15" s="67" t="s">
        <v>333</v>
      </c>
      <c r="B15" s="68" t="s">
        <v>50</v>
      </c>
      <c r="C15" s="837"/>
      <c r="D15" s="100"/>
      <c r="E15" s="69">
        <f t="shared" si="1"/>
        <v>0</v>
      </c>
      <c r="F15" s="98"/>
      <c r="H15" s="99"/>
      <c r="I15" s="98"/>
      <c r="J15" s="100"/>
      <c r="K15" s="99"/>
      <c r="L15" s="98"/>
      <c r="M15" s="98"/>
      <c r="N15" s="100"/>
    </row>
    <row r="16" spans="1:14">
      <c r="A16" s="856" t="s">
        <v>337</v>
      </c>
      <c r="B16" s="68"/>
      <c r="C16" s="837"/>
      <c r="D16" s="100"/>
      <c r="E16" s="69"/>
      <c r="F16" s="98"/>
      <c r="H16" s="99"/>
      <c r="I16" s="98"/>
      <c r="J16" s="100"/>
      <c r="K16" s="99"/>
      <c r="L16" s="98"/>
      <c r="M16" s="98"/>
      <c r="N16" s="100"/>
    </row>
    <row r="17" spans="1:14">
      <c r="A17" s="67" t="s">
        <v>334</v>
      </c>
      <c r="B17" s="68" t="s">
        <v>48</v>
      </c>
      <c r="C17" s="837">
        <f>139943-C27</f>
        <v>32635</v>
      </c>
      <c r="D17" s="100"/>
      <c r="E17" s="98">
        <f>C17</f>
        <v>32635</v>
      </c>
      <c r="F17" s="64"/>
      <c r="G17" s="98"/>
      <c r="H17" s="99"/>
      <c r="I17" s="98"/>
      <c r="J17" s="100"/>
      <c r="K17" s="99"/>
      <c r="L17" s="98"/>
      <c r="M17" s="98"/>
      <c r="N17" s="100"/>
    </row>
    <row r="18" spans="1:14">
      <c r="A18" s="67" t="s">
        <v>68</v>
      </c>
      <c r="B18" s="68" t="s">
        <v>68</v>
      </c>
      <c r="C18" s="949">
        <v>15359</v>
      </c>
      <c r="D18" s="100"/>
      <c r="E18" s="69"/>
      <c r="F18" s="98">
        <f>C18</f>
        <v>15359</v>
      </c>
      <c r="G18" s="98"/>
      <c r="H18" s="99"/>
      <c r="I18" s="98"/>
      <c r="J18" s="100"/>
      <c r="K18" s="99"/>
      <c r="L18" s="98"/>
      <c r="M18" s="98"/>
      <c r="N18" s="100"/>
    </row>
    <row r="19" spans="1:14">
      <c r="A19" s="67" t="s">
        <v>48</v>
      </c>
      <c r="B19" s="68" t="s">
        <v>48</v>
      </c>
      <c r="C19" s="837">
        <v>0</v>
      </c>
      <c r="D19" s="100"/>
      <c r="E19" s="98">
        <f>C19</f>
        <v>0</v>
      </c>
      <c r="G19" s="98"/>
      <c r="H19" s="99"/>
      <c r="I19" s="98"/>
      <c r="J19" s="100"/>
      <c r="K19" s="99"/>
      <c r="L19" s="98"/>
      <c r="M19" s="98"/>
      <c r="N19" s="100"/>
    </row>
    <row r="20" spans="1:14">
      <c r="A20" s="67" t="s">
        <v>335</v>
      </c>
      <c r="B20" s="68" t="s">
        <v>216</v>
      </c>
      <c r="C20" s="837">
        <v>36727</v>
      </c>
      <c r="D20" s="100"/>
      <c r="E20" s="69"/>
      <c r="F20" s="98">
        <f>C20</f>
        <v>36727</v>
      </c>
      <c r="G20" s="98"/>
      <c r="H20" s="99"/>
      <c r="I20" s="98"/>
      <c r="J20" s="100"/>
      <c r="K20" s="99"/>
      <c r="L20" s="98"/>
      <c r="M20" s="98"/>
      <c r="N20" s="100"/>
    </row>
    <row r="21" spans="1:14">
      <c r="A21" s="844" t="s">
        <v>347</v>
      </c>
      <c r="B21" s="77" t="s">
        <v>88</v>
      </c>
      <c r="C21" s="837">
        <v>12000</v>
      </c>
      <c r="D21" s="100"/>
      <c r="E21" s="69">
        <f>C21</f>
        <v>12000</v>
      </c>
      <c r="F21" s="98"/>
      <c r="G21" s="98"/>
      <c r="H21" s="99"/>
      <c r="I21" s="98"/>
      <c r="J21" s="100"/>
      <c r="K21" s="99"/>
      <c r="L21" s="98"/>
      <c r="M21" s="98"/>
      <c r="N21" s="100"/>
    </row>
    <row r="22" spans="1:14">
      <c r="A22" s="67" t="s">
        <v>348</v>
      </c>
      <c r="B22" s="77" t="s">
        <v>88</v>
      </c>
      <c r="C22" s="952">
        <v>132750</v>
      </c>
      <c r="D22" s="100"/>
      <c r="E22" s="69">
        <f>C22</f>
        <v>132750</v>
      </c>
      <c r="F22" s="98"/>
      <c r="G22" s="98"/>
      <c r="H22" s="99"/>
      <c r="I22" s="98"/>
      <c r="J22" s="100"/>
      <c r="K22" s="99"/>
      <c r="L22" s="98"/>
      <c r="M22" s="98"/>
      <c r="N22" s="100"/>
    </row>
    <row r="23" spans="1:14">
      <c r="A23" s="67" t="s">
        <v>414</v>
      </c>
      <c r="B23" s="77" t="s">
        <v>88</v>
      </c>
      <c r="C23" s="837">
        <f>5.3*43560</f>
        <v>230868</v>
      </c>
      <c r="D23" s="100"/>
      <c r="E23" s="69"/>
      <c r="F23" s="98">
        <f>C23*(2/3)</f>
        <v>153912</v>
      </c>
      <c r="G23" s="98">
        <f>C23*(1/3)</f>
        <v>76956</v>
      </c>
      <c r="H23" s="99"/>
      <c r="I23" s="98"/>
      <c r="J23" s="100"/>
      <c r="K23" s="99"/>
      <c r="L23" s="98"/>
      <c r="M23" s="98"/>
      <c r="N23" s="100"/>
    </row>
    <row r="24" spans="1:14" ht="13.5" thickBot="1">
      <c r="A24" s="70" t="s">
        <v>339</v>
      </c>
      <c r="B24" s="129" t="s">
        <v>88</v>
      </c>
      <c r="C24" s="896">
        <f>(30*300)+(15*200)</f>
        <v>12000</v>
      </c>
      <c r="D24" s="897"/>
      <c r="F24" s="101">
        <f>C24</f>
        <v>12000</v>
      </c>
      <c r="G24" s="101"/>
      <c r="H24" s="102"/>
      <c r="I24" s="101"/>
      <c r="J24" s="103"/>
      <c r="K24" s="102"/>
      <c r="L24" s="101"/>
      <c r="M24" s="101"/>
      <c r="N24" s="103"/>
    </row>
    <row r="25" spans="1:14" ht="4.5" customHeight="1">
      <c r="A25" s="75"/>
      <c r="B25" s="82"/>
      <c r="C25" s="893"/>
      <c r="D25" s="104"/>
      <c r="E25" s="105"/>
      <c r="F25" s="104"/>
      <c r="G25" s="104"/>
      <c r="H25" s="105"/>
      <c r="I25" s="104"/>
      <c r="J25" s="106"/>
      <c r="K25" s="99"/>
      <c r="L25" s="98"/>
      <c r="M25" s="98"/>
      <c r="N25" s="100"/>
    </row>
    <row r="26" spans="1:14">
      <c r="A26" s="66" t="s">
        <v>338</v>
      </c>
      <c r="B26" s="79"/>
      <c r="C26" s="894"/>
      <c r="D26" s="98"/>
      <c r="E26" s="99"/>
      <c r="F26" s="98"/>
      <c r="G26" s="98"/>
      <c r="H26" s="99"/>
      <c r="I26" s="98"/>
      <c r="J26" s="100"/>
      <c r="K26" s="99"/>
      <c r="L26" s="98"/>
      <c r="M26" s="98"/>
      <c r="N26" s="100"/>
    </row>
    <row r="27" spans="1:14">
      <c r="A27" s="67" t="s">
        <v>48</v>
      </c>
      <c r="B27" s="68" t="s">
        <v>48</v>
      </c>
      <c r="C27" s="837">
        <v>107308</v>
      </c>
      <c r="E27" s="99"/>
      <c r="F27" s="69">
        <f>C27*(2/3)</f>
        <v>71538.666666666657</v>
      </c>
      <c r="G27" s="98">
        <f>C27*(1/3)</f>
        <v>35769.333333333328</v>
      </c>
      <c r="H27" s="99"/>
      <c r="I27" s="98"/>
      <c r="J27" s="100"/>
      <c r="K27" s="99"/>
      <c r="L27" s="98"/>
      <c r="M27" s="98"/>
      <c r="N27" s="100"/>
    </row>
    <row r="28" spans="1:14">
      <c r="A28" s="67" t="s">
        <v>86</v>
      </c>
      <c r="B28" s="68" t="s">
        <v>50</v>
      </c>
      <c r="C28" s="837">
        <v>139099.70000000001</v>
      </c>
      <c r="D28" s="98"/>
      <c r="E28" s="99"/>
      <c r="F28" s="69">
        <f>C28</f>
        <v>139099.70000000001</v>
      </c>
      <c r="G28" s="98"/>
      <c r="H28" s="99"/>
      <c r="I28" s="98"/>
      <c r="J28" s="100"/>
      <c r="K28" s="99"/>
      <c r="L28" s="98"/>
      <c r="M28" s="98"/>
      <c r="N28" s="100"/>
    </row>
    <row r="29" spans="1:14">
      <c r="A29" s="67" t="s">
        <v>329</v>
      </c>
      <c r="B29" s="68" t="s">
        <v>91</v>
      </c>
      <c r="C29" s="837">
        <f>155571-C30</f>
        <v>140571</v>
      </c>
      <c r="D29" s="98"/>
      <c r="E29" s="99"/>
      <c r="F29" s="69">
        <f>C29*(2/3)</f>
        <v>93714</v>
      </c>
      <c r="G29" s="98">
        <f>C29*(1/3)</f>
        <v>46857</v>
      </c>
      <c r="H29" s="99"/>
      <c r="I29" s="98"/>
      <c r="J29" s="100"/>
      <c r="K29" s="99"/>
      <c r="L29" s="98"/>
      <c r="M29" s="98"/>
      <c r="N29" s="100"/>
    </row>
    <row r="30" spans="1:14">
      <c r="A30" s="67" t="s">
        <v>329</v>
      </c>
      <c r="B30" s="68" t="s">
        <v>93</v>
      </c>
      <c r="C30" s="837">
        <v>15000</v>
      </c>
      <c r="D30" s="98"/>
      <c r="E30" s="99"/>
      <c r="F30" s="69">
        <f>C30*(2/3)</f>
        <v>10000</v>
      </c>
      <c r="G30" s="98">
        <f>C30*(1/3)</f>
        <v>5000</v>
      </c>
      <c r="H30" s="99"/>
      <c r="I30" s="98"/>
      <c r="J30" s="100"/>
      <c r="K30" s="99"/>
      <c r="L30" s="98"/>
      <c r="M30" s="98"/>
      <c r="N30" s="100"/>
    </row>
    <row r="31" spans="1:14">
      <c r="A31" s="67" t="s">
        <v>48</v>
      </c>
      <c r="B31" s="68" t="s">
        <v>48</v>
      </c>
      <c r="C31" s="837">
        <v>0</v>
      </c>
      <c r="D31" s="98"/>
      <c r="E31" s="99"/>
      <c r="F31" s="69">
        <f>C31*(2/3)</f>
        <v>0</v>
      </c>
      <c r="G31" s="98">
        <f>C31*(1/3)</f>
        <v>0</v>
      </c>
      <c r="H31" s="99"/>
      <c r="I31" s="98"/>
      <c r="J31" s="100"/>
      <c r="K31" s="99"/>
      <c r="L31" s="98"/>
      <c r="M31" s="98"/>
      <c r="N31" s="100"/>
    </row>
    <row r="32" spans="1:14" ht="13.5" thickBot="1">
      <c r="A32" s="844" t="s">
        <v>54</v>
      </c>
      <c r="B32" s="68" t="s">
        <v>88</v>
      </c>
      <c r="C32" s="837">
        <v>104102</v>
      </c>
      <c r="D32" s="98"/>
      <c r="E32" s="98">
        <f>C32*(2/3)</f>
        <v>69401.333333333328</v>
      </c>
      <c r="F32" s="69">
        <f>C32*(1/3)</f>
        <v>34700.666666666664</v>
      </c>
      <c r="H32" s="99"/>
      <c r="I32" s="98"/>
      <c r="J32" s="100"/>
      <c r="K32" s="99"/>
      <c r="L32" s="98"/>
      <c r="M32" s="98"/>
      <c r="N32" s="100"/>
    </row>
    <row r="33" spans="1:14" ht="4.5" customHeight="1">
      <c r="A33" s="75"/>
      <c r="B33" s="82"/>
      <c r="C33" s="857"/>
      <c r="D33" s="104"/>
      <c r="E33" s="105"/>
      <c r="F33" s="104"/>
      <c r="G33" s="106"/>
      <c r="H33" s="105"/>
      <c r="I33" s="104"/>
      <c r="J33" s="106"/>
      <c r="K33" s="104"/>
      <c r="L33" s="104"/>
      <c r="M33" s="104"/>
      <c r="N33" s="106"/>
    </row>
    <row r="34" spans="1:14">
      <c r="A34" s="66" t="s">
        <v>340</v>
      </c>
      <c r="B34" s="79"/>
      <c r="C34" s="858"/>
      <c r="D34" s="98"/>
      <c r="E34" s="99"/>
      <c r="F34" s="98"/>
      <c r="G34" s="100"/>
      <c r="H34" s="99"/>
      <c r="I34" s="98"/>
      <c r="J34" s="100"/>
      <c r="K34" s="98"/>
      <c r="L34" s="98"/>
      <c r="M34" s="98"/>
      <c r="N34" s="100"/>
    </row>
    <row r="35" spans="1:14">
      <c r="A35" s="67" t="s">
        <v>90</v>
      </c>
      <c r="B35" s="68" t="s">
        <v>91</v>
      </c>
      <c r="C35" s="837">
        <f>660742-C36-C46-C47-C40-C44-C41+15000</f>
        <v>338739.7</v>
      </c>
      <c r="D35" s="98"/>
      <c r="E35" s="99"/>
      <c r="F35" s="98"/>
      <c r="G35" s="100"/>
      <c r="H35" s="73">
        <f>C35</f>
        <v>338739.7</v>
      </c>
      <c r="I35" s="69"/>
      <c r="J35" s="100"/>
      <c r="K35" s="98"/>
      <c r="L35" s="98"/>
      <c r="M35" s="98"/>
      <c r="N35" s="100"/>
    </row>
    <row r="36" spans="1:14">
      <c r="A36" s="67" t="s">
        <v>92</v>
      </c>
      <c r="B36" s="68" t="s">
        <v>93</v>
      </c>
      <c r="C36" s="837">
        <v>20000</v>
      </c>
      <c r="D36" s="98"/>
      <c r="E36" s="99"/>
      <c r="F36" s="98"/>
      <c r="G36" s="100"/>
      <c r="H36" s="73">
        <f>C36</f>
        <v>20000</v>
      </c>
      <c r="I36" s="69"/>
      <c r="J36" s="100"/>
      <c r="K36" s="98"/>
      <c r="L36" s="98"/>
      <c r="M36" s="98"/>
      <c r="N36" s="100"/>
    </row>
    <row r="37" spans="1:14">
      <c r="A37" s="67" t="s">
        <v>94</v>
      </c>
      <c r="B37" s="68" t="s">
        <v>48</v>
      </c>
      <c r="C37" s="837">
        <f>109738+80907-29343.2</f>
        <v>161301.79999999999</v>
      </c>
      <c r="D37" s="98"/>
      <c r="E37" s="99"/>
      <c r="F37" s="98"/>
      <c r="G37" s="100"/>
      <c r="H37" s="73">
        <f>C37</f>
        <v>161301.79999999999</v>
      </c>
      <c r="I37" s="64"/>
      <c r="J37" s="100"/>
      <c r="K37" s="98"/>
      <c r="L37" s="98"/>
      <c r="M37" s="98"/>
      <c r="N37" s="100"/>
    </row>
    <row r="38" spans="1:14">
      <c r="A38" s="67" t="s">
        <v>86</v>
      </c>
      <c r="B38" s="68" t="s">
        <v>50</v>
      </c>
      <c r="C38" s="837">
        <f>684602-C43-C54</f>
        <v>515543</v>
      </c>
      <c r="D38" s="98"/>
      <c r="E38" s="99"/>
      <c r="F38" s="98"/>
      <c r="G38" s="100"/>
      <c r="H38" s="73">
        <f>C38</f>
        <v>515543</v>
      </c>
      <c r="I38" s="98"/>
      <c r="J38" s="100"/>
      <c r="K38" s="98"/>
      <c r="L38" s="98"/>
      <c r="M38" s="98"/>
      <c r="N38" s="100"/>
    </row>
    <row r="39" spans="1:14">
      <c r="A39" s="67" t="s">
        <v>68</v>
      </c>
      <c r="B39" s="68" t="s">
        <v>68</v>
      </c>
      <c r="C39" s="837">
        <f>109738+109738</f>
        <v>219476</v>
      </c>
      <c r="D39" s="98"/>
      <c r="E39" s="99"/>
      <c r="F39" s="98"/>
      <c r="G39" s="100"/>
      <c r="H39" s="63"/>
      <c r="I39" s="69">
        <f>C39</f>
        <v>219476</v>
      </c>
      <c r="J39" s="100"/>
      <c r="K39" s="98"/>
      <c r="L39" s="98"/>
      <c r="M39" s="98"/>
      <c r="N39" s="100"/>
    </row>
    <row r="40" spans="1:14">
      <c r="A40" s="67" t="s">
        <v>329</v>
      </c>
      <c r="B40" s="68" t="s">
        <v>96</v>
      </c>
      <c r="C40" s="837">
        <f>160000-C41+14999</f>
        <v>159999</v>
      </c>
      <c r="D40" s="98"/>
      <c r="E40" s="99"/>
      <c r="F40" s="98"/>
      <c r="G40" s="100"/>
      <c r="H40" s="99"/>
      <c r="I40" s="69">
        <f>C40*(2/3)</f>
        <v>106666</v>
      </c>
      <c r="J40" s="80">
        <f>C40*(1/3)</f>
        <v>53333</v>
      </c>
      <c r="K40" s="98"/>
      <c r="L40" s="98"/>
      <c r="M40" s="98"/>
      <c r="N40" s="100"/>
    </row>
    <row r="41" spans="1:14">
      <c r="A41" s="67" t="s">
        <v>329</v>
      </c>
      <c r="B41" s="68" t="s">
        <v>410</v>
      </c>
      <c r="C41" s="837">
        <v>15000</v>
      </c>
      <c r="D41" s="98"/>
      <c r="E41" s="99"/>
      <c r="F41" s="98"/>
      <c r="G41" s="100"/>
      <c r="H41" s="99"/>
      <c r="I41" s="69">
        <f>C41*(2/3)</f>
        <v>10000</v>
      </c>
      <c r="J41" s="80">
        <f>C41*(1/3)</f>
        <v>5000</v>
      </c>
      <c r="K41" s="98"/>
      <c r="L41" s="98"/>
      <c r="M41" s="98"/>
      <c r="N41" s="100"/>
    </row>
    <row r="42" spans="1:14">
      <c r="A42" s="67" t="s">
        <v>342</v>
      </c>
      <c r="B42" s="68" t="s">
        <v>48</v>
      </c>
      <c r="C42" s="837">
        <v>7200</v>
      </c>
      <c r="D42" s="98"/>
      <c r="E42" s="99"/>
      <c r="F42" s="98"/>
      <c r="G42" s="100"/>
      <c r="H42" s="99"/>
      <c r="I42" s="69">
        <f>C42</f>
        <v>7200</v>
      </c>
      <c r="J42" s="80"/>
      <c r="K42" s="98"/>
      <c r="L42" s="98"/>
      <c r="M42" s="98"/>
      <c r="N42" s="100"/>
    </row>
    <row r="43" spans="1:14">
      <c r="A43" s="67" t="s">
        <v>86</v>
      </c>
      <c r="B43" s="68" t="s">
        <v>50</v>
      </c>
      <c r="C43" s="837">
        <f>169059-C54</f>
        <v>154059</v>
      </c>
      <c r="D43" s="98"/>
      <c r="E43" s="99"/>
      <c r="F43" s="98"/>
      <c r="G43" s="100"/>
      <c r="H43" s="99"/>
      <c r="I43" s="69">
        <f>C43</f>
        <v>154059</v>
      </c>
      <c r="J43" s="898"/>
      <c r="K43" s="98"/>
      <c r="L43" s="98"/>
      <c r="M43" s="98"/>
      <c r="N43" s="100"/>
    </row>
    <row r="44" spans="1:14">
      <c r="A44" s="67" t="s">
        <v>96</v>
      </c>
      <c r="B44" s="68" t="s">
        <v>96</v>
      </c>
      <c r="C44" s="837">
        <f>5531.3</f>
        <v>5531.3</v>
      </c>
      <c r="D44" s="98"/>
      <c r="E44" s="99"/>
      <c r="F44" s="98"/>
      <c r="G44" s="100"/>
      <c r="H44" s="73">
        <f>C44*(2/3)</f>
        <v>3687.5333333333333</v>
      </c>
      <c r="I44" s="69">
        <f>C44*(1/3)</f>
        <v>1843.7666666666667</v>
      </c>
      <c r="J44" s="100"/>
      <c r="K44" s="98"/>
      <c r="L44" s="98"/>
      <c r="M44" s="98"/>
      <c r="N44" s="100"/>
    </row>
    <row r="45" spans="1:14">
      <c r="A45" s="67" t="s">
        <v>341</v>
      </c>
      <c r="B45" s="68" t="s">
        <v>48</v>
      </c>
      <c r="C45" s="837">
        <v>4167.17</v>
      </c>
      <c r="D45" s="98"/>
      <c r="E45" s="99"/>
      <c r="F45" s="98"/>
      <c r="G45" s="100"/>
      <c r="H45" s="73"/>
      <c r="I45" s="69">
        <f>C45</f>
        <v>4167.17</v>
      </c>
      <c r="J45" s="100"/>
      <c r="K45" s="98"/>
      <c r="L45" s="98"/>
      <c r="M45" s="98"/>
      <c r="N45" s="100"/>
    </row>
    <row r="46" spans="1:14">
      <c r="A46" s="67" t="s">
        <v>329</v>
      </c>
      <c r="B46" s="68" t="s">
        <v>91</v>
      </c>
      <c r="C46" s="837">
        <f>136472-C47</f>
        <v>121472</v>
      </c>
      <c r="D46" s="98"/>
      <c r="E46" s="99"/>
      <c r="F46" s="98"/>
      <c r="G46" s="100"/>
      <c r="H46" s="63"/>
      <c r="I46" s="69">
        <f>C46*(2/3)</f>
        <v>80981.333333333328</v>
      </c>
      <c r="J46" s="80">
        <f>C46*(1/3)</f>
        <v>40490.666666666664</v>
      </c>
      <c r="K46" s="98"/>
      <c r="L46" s="98"/>
      <c r="M46" s="98"/>
      <c r="N46" s="100"/>
    </row>
    <row r="47" spans="1:14">
      <c r="A47" s="67" t="s">
        <v>329</v>
      </c>
      <c r="B47" s="68" t="s">
        <v>343</v>
      </c>
      <c r="C47" s="837">
        <v>15000</v>
      </c>
      <c r="D47" s="98"/>
      <c r="E47" s="99"/>
      <c r="F47" s="98"/>
      <c r="G47" s="100"/>
      <c r="H47" s="99"/>
      <c r="I47" s="69">
        <f>C47</f>
        <v>15000</v>
      </c>
      <c r="J47" s="80"/>
      <c r="K47" s="98"/>
      <c r="L47" s="98"/>
      <c r="M47" s="98"/>
      <c r="N47" s="100"/>
    </row>
    <row r="48" spans="1:14">
      <c r="A48" s="67" t="s">
        <v>48</v>
      </c>
      <c r="B48" s="68" t="s">
        <v>48</v>
      </c>
      <c r="C48" s="837">
        <f>29343+15000</f>
        <v>44343</v>
      </c>
      <c r="D48" s="98"/>
      <c r="E48" s="99"/>
      <c r="F48" s="98"/>
      <c r="G48" s="100"/>
      <c r="H48" s="99"/>
      <c r="I48" s="69">
        <f>C48</f>
        <v>44343</v>
      </c>
      <c r="J48" s="65"/>
      <c r="K48" s="98"/>
      <c r="L48" s="98"/>
      <c r="M48" s="98"/>
      <c r="N48" s="100"/>
    </row>
    <row r="49" spans="1:14">
      <c r="A49" s="67" t="s">
        <v>344</v>
      </c>
      <c r="B49" s="68" t="s">
        <v>216</v>
      </c>
      <c r="C49" s="837">
        <v>46146</v>
      </c>
      <c r="D49" s="98"/>
      <c r="E49" s="99"/>
      <c r="F49" s="98"/>
      <c r="G49" s="100"/>
      <c r="H49" s="99"/>
      <c r="I49" s="69">
        <f>C49*(2/3)</f>
        <v>30764</v>
      </c>
      <c r="J49" s="80">
        <f>C49*(1/3)</f>
        <v>15382</v>
      </c>
      <c r="K49" s="98"/>
      <c r="L49" s="98"/>
      <c r="M49" s="98"/>
      <c r="N49" s="100"/>
    </row>
    <row r="50" spans="1:14">
      <c r="A50" s="67" t="s">
        <v>68</v>
      </c>
      <c r="B50" s="68" t="s">
        <v>68</v>
      </c>
      <c r="C50" s="837">
        <v>21921.328000000001</v>
      </c>
      <c r="D50" s="98"/>
      <c r="E50" s="99"/>
      <c r="F50" s="98"/>
      <c r="G50" s="100"/>
      <c r="H50" s="63"/>
      <c r="I50" s="69">
        <f>C50</f>
        <v>21921.328000000001</v>
      </c>
      <c r="J50" s="65"/>
      <c r="K50" s="98"/>
      <c r="L50" s="98"/>
      <c r="M50" s="98"/>
      <c r="N50" s="100"/>
    </row>
    <row r="51" spans="1:14">
      <c r="A51" s="67" t="s">
        <v>48</v>
      </c>
      <c r="B51" s="68" t="s">
        <v>48</v>
      </c>
      <c r="C51" s="837">
        <v>20014</v>
      </c>
      <c r="D51" s="98"/>
      <c r="E51" s="99"/>
      <c r="F51" s="98"/>
      <c r="G51" s="100"/>
      <c r="H51" s="73"/>
      <c r="I51" s="69">
        <f>C51</f>
        <v>20014</v>
      </c>
      <c r="J51" s="65"/>
      <c r="K51" s="98"/>
      <c r="L51" s="98"/>
      <c r="M51" s="98"/>
      <c r="N51" s="100"/>
    </row>
    <row r="52" spans="1:14">
      <c r="A52" s="67" t="s">
        <v>345</v>
      </c>
      <c r="B52" s="68" t="s">
        <v>68</v>
      </c>
      <c r="C52" s="837">
        <f>15158+96955</f>
        <v>112113</v>
      </c>
      <c r="D52" s="98"/>
      <c r="E52" s="99"/>
      <c r="F52" s="98"/>
      <c r="G52" s="100"/>
      <c r="H52" s="63"/>
      <c r="I52" s="69">
        <f>C52</f>
        <v>112113</v>
      </c>
      <c r="J52" s="65"/>
      <c r="K52" s="98"/>
      <c r="L52" s="98"/>
      <c r="M52" s="98"/>
      <c r="N52" s="100"/>
    </row>
    <row r="53" spans="1:14" s="64" customFormat="1">
      <c r="A53" s="67" t="s">
        <v>346</v>
      </c>
      <c r="B53" s="68" t="s">
        <v>48</v>
      </c>
      <c r="C53" s="837">
        <v>25008</v>
      </c>
      <c r="D53" s="98"/>
      <c r="E53" s="99"/>
      <c r="F53" s="98"/>
      <c r="G53" s="100"/>
      <c r="H53" s="99"/>
      <c r="J53" s="80">
        <f>C53</f>
        <v>25008</v>
      </c>
      <c r="K53" s="98"/>
      <c r="L53" s="98"/>
      <c r="M53" s="98"/>
      <c r="N53" s="100"/>
    </row>
    <row r="54" spans="1:14" s="64" customFormat="1">
      <c r="A54" s="67" t="s">
        <v>86</v>
      </c>
      <c r="B54" s="68" t="s">
        <v>50</v>
      </c>
      <c r="C54" s="837">
        <v>15000</v>
      </c>
      <c r="D54" s="98"/>
      <c r="E54" s="99"/>
      <c r="F54" s="98"/>
      <c r="G54" s="100"/>
      <c r="H54" s="99"/>
      <c r="I54" s="69">
        <f>C54</f>
        <v>15000</v>
      </c>
      <c r="J54" s="65"/>
      <c r="K54" s="98"/>
      <c r="L54" s="98"/>
      <c r="M54" s="98"/>
      <c r="N54" s="100"/>
    </row>
    <row r="55" spans="1:14" s="64" customFormat="1" ht="13.5" thickBot="1">
      <c r="A55" s="875" t="s">
        <v>444</v>
      </c>
      <c r="B55" s="71" t="s">
        <v>88</v>
      </c>
      <c r="C55" s="859">
        <v>179095.67867129482</v>
      </c>
      <c r="D55" s="101"/>
      <c r="E55" s="102"/>
      <c r="F55" s="101"/>
      <c r="G55" s="103"/>
      <c r="H55" s="74">
        <f>C55</f>
        <v>179095.67867129482</v>
      </c>
      <c r="I55" s="72"/>
      <c r="J55" s="103"/>
      <c r="K55" s="101"/>
      <c r="L55" s="101"/>
      <c r="M55" s="101"/>
      <c r="N55" s="103"/>
    </row>
    <row r="56" spans="1:14" ht="4.5" customHeight="1">
      <c r="A56" s="75"/>
      <c r="B56" s="76"/>
      <c r="C56" s="857"/>
      <c r="D56" s="104"/>
      <c r="E56" s="105"/>
      <c r="F56" s="104"/>
      <c r="G56" s="106"/>
      <c r="H56" s="105"/>
      <c r="I56" s="104"/>
      <c r="J56" s="106"/>
      <c r="K56" s="104"/>
      <c r="L56" s="104"/>
      <c r="M56" s="104"/>
      <c r="N56" s="106"/>
    </row>
    <row r="57" spans="1:14">
      <c r="A57" s="66" t="s">
        <v>81</v>
      </c>
      <c r="B57" s="64"/>
      <c r="C57" s="858"/>
      <c r="D57" s="98"/>
      <c r="E57" s="99"/>
      <c r="F57" s="98"/>
      <c r="G57" s="100"/>
      <c r="H57" s="99"/>
      <c r="I57" s="98"/>
      <c r="J57" s="100"/>
      <c r="K57" s="98"/>
      <c r="L57" s="98"/>
      <c r="M57" s="98"/>
      <c r="N57" s="100"/>
    </row>
    <row r="58" spans="1:14">
      <c r="A58" s="67" t="s">
        <v>407</v>
      </c>
      <c r="B58" s="68" t="s">
        <v>91</v>
      </c>
      <c r="C58" s="837">
        <f>255166+300000+140000+4335-C59+75541</f>
        <v>595042</v>
      </c>
      <c r="D58" s="98"/>
      <c r="E58" s="99"/>
      <c r="F58" s="98"/>
      <c r="G58" s="100"/>
      <c r="H58" s="99"/>
      <c r="I58" s="98"/>
      <c r="J58" s="100"/>
      <c r="K58" s="69">
        <f>C58*(2/3)</f>
        <v>396694.66666666663</v>
      </c>
      <c r="L58" s="69">
        <f>C58*(1/3)</f>
        <v>198347.33333333331</v>
      </c>
      <c r="M58" s="98"/>
      <c r="N58" s="100"/>
    </row>
    <row r="59" spans="1:14">
      <c r="A59" s="67" t="s">
        <v>92</v>
      </c>
      <c r="B59" s="68" t="s">
        <v>93</v>
      </c>
      <c r="C59" s="837">
        <v>180000</v>
      </c>
      <c r="D59" s="98"/>
      <c r="E59" s="99"/>
      <c r="F59" s="98"/>
      <c r="G59" s="100"/>
      <c r="H59" s="99"/>
      <c r="I59" s="98"/>
      <c r="J59" s="100"/>
      <c r="K59" s="69">
        <f>C59*(2/3)</f>
        <v>120000</v>
      </c>
      <c r="L59" s="69">
        <f>C59*(1/3)</f>
        <v>60000</v>
      </c>
      <c r="M59" s="98"/>
      <c r="N59" s="100"/>
    </row>
    <row r="60" spans="1:14">
      <c r="A60" s="67" t="s">
        <v>350</v>
      </c>
      <c r="B60" s="68" t="s">
        <v>216</v>
      </c>
      <c r="C60" s="837">
        <v>18333</v>
      </c>
      <c r="D60" s="98"/>
      <c r="E60" s="99"/>
      <c r="F60" s="98"/>
      <c r="G60" s="100"/>
      <c r="H60" s="99"/>
      <c r="I60" s="98"/>
      <c r="J60" s="100"/>
      <c r="K60" s="69"/>
      <c r="L60" s="69"/>
      <c r="M60" s="98">
        <f>C60</f>
        <v>18333</v>
      </c>
      <c r="N60" s="100"/>
    </row>
    <row r="61" spans="1:14">
      <c r="A61" s="67" t="s">
        <v>94</v>
      </c>
      <c r="B61" s="68" t="s">
        <v>48</v>
      </c>
      <c r="C61" s="837">
        <f>25177+22327-15000-15000</f>
        <v>17504</v>
      </c>
      <c r="D61" s="98"/>
      <c r="E61" s="99"/>
      <c r="F61" s="98"/>
      <c r="G61" s="100"/>
      <c r="H61" s="99"/>
      <c r="I61" s="98"/>
      <c r="J61" s="100"/>
      <c r="K61" s="69"/>
      <c r="L61" s="69">
        <f>C61</f>
        <v>17504</v>
      </c>
      <c r="M61" s="98"/>
      <c r="N61" s="100"/>
    </row>
    <row r="62" spans="1:14">
      <c r="A62" s="67" t="s">
        <v>94</v>
      </c>
      <c r="B62" s="68" t="s">
        <v>48</v>
      </c>
      <c r="C62" s="837">
        <v>25177</v>
      </c>
      <c r="D62" s="98"/>
      <c r="E62" s="99"/>
      <c r="F62" s="98"/>
      <c r="G62" s="100"/>
      <c r="H62" s="99"/>
      <c r="I62" s="98"/>
      <c r="J62" s="100"/>
      <c r="K62" s="69"/>
      <c r="L62" s="69">
        <f>C62</f>
        <v>25177</v>
      </c>
      <c r="M62" s="98"/>
      <c r="N62" s="100"/>
    </row>
    <row r="63" spans="1:14">
      <c r="A63" s="67" t="s">
        <v>408</v>
      </c>
      <c r="B63" s="68" t="s">
        <v>96</v>
      </c>
      <c r="C63" s="837">
        <v>200000</v>
      </c>
      <c r="D63" s="98"/>
      <c r="E63" s="99"/>
      <c r="F63" s="98"/>
      <c r="G63" s="100"/>
      <c r="H63" s="99"/>
      <c r="I63" s="98"/>
      <c r="J63" s="100"/>
      <c r="K63" s="98"/>
      <c r="L63" s="69">
        <f>C63</f>
        <v>200000</v>
      </c>
      <c r="M63" s="69"/>
      <c r="N63" s="100"/>
    </row>
    <row r="64" spans="1:14">
      <c r="A64" s="861" t="s">
        <v>199</v>
      </c>
      <c r="B64" s="68" t="s">
        <v>50</v>
      </c>
      <c r="C64" s="837">
        <v>261931</v>
      </c>
      <c r="D64" s="98"/>
      <c r="E64" s="99"/>
      <c r="F64" s="98"/>
      <c r="G64" s="100"/>
      <c r="H64" s="99"/>
      <c r="I64" s="98"/>
      <c r="J64" s="100"/>
      <c r="K64" s="98"/>
      <c r="L64" s="69">
        <f>C64*(2/3)</f>
        <v>174620.66666666666</v>
      </c>
      <c r="M64" s="69">
        <f>C64*(1/3)</f>
        <v>87310.333333333328</v>
      </c>
      <c r="N64" s="100"/>
    </row>
    <row r="65" spans="1:14">
      <c r="A65" s="861" t="s">
        <v>48</v>
      </c>
      <c r="B65" s="68" t="s">
        <v>48</v>
      </c>
      <c r="C65" s="837">
        <v>14519</v>
      </c>
      <c r="D65" s="98"/>
      <c r="E65" s="99"/>
      <c r="F65" s="98"/>
      <c r="G65" s="100"/>
      <c r="H65" s="99"/>
      <c r="I65" s="98"/>
      <c r="J65" s="100"/>
      <c r="K65" s="98"/>
      <c r="L65" s="69"/>
      <c r="M65" s="69">
        <f>C65</f>
        <v>14519</v>
      </c>
      <c r="N65" s="100"/>
    </row>
    <row r="66" spans="1:14">
      <c r="A66" s="861" t="s">
        <v>329</v>
      </c>
      <c r="B66" s="68" t="s">
        <v>96</v>
      </c>
      <c r="C66" s="837">
        <f>75920-C67</f>
        <v>25920</v>
      </c>
      <c r="D66" s="98"/>
      <c r="E66" s="99"/>
      <c r="F66" s="98"/>
      <c r="G66" s="100"/>
      <c r="H66" s="99"/>
      <c r="I66" s="98"/>
      <c r="J66" s="100"/>
      <c r="K66" s="98"/>
      <c r="L66" s="69"/>
      <c r="M66" s="69">
        <f t="shared" ref="M66:M73" si="2">C66</f>
        <v>25920</v>
      </c>
      <c r="N66" s="100"/>
    </row>
    <row r="67" spans="1:14">
      <c r="A67" s="861" t="s">
        <v>329</v>
      </c>
      <c r="B67" s="68" t="s">
        <v>410</v>
      </c>
      <c r="C67" s="837">
        <v>50000</v>
      </c>
      <c r="D67" s="98"/>
      <c r="E67" s="99"/>
      <c r="F67" s="98"/>
      <c r="G67" s="100"/>
      <c r="H67" s="99"/>
      <c r="I67" s="98"/>
      <c r="J67" s="100"/>
      <c r="K67" s="98"/>
      <c r="L67" s="69"/>
      <c r="M67" s="69">
        <f>C67</f>
        <v>50000</v>
      </c>
      <c r="N67" s="100"/>
    </row>
    <row r="68" spans="1:14">
      <c r="A68" s="861" t="s">
        <v>350</v>
      </c>
      <c r="B68" s="39" t="s">
        <v>216</v>
      </c>
      <c r="C68" s="860">
        <f>62223+73486</f>
        <v>135709</v>
      </c>
      <c r="D68" s="98"/>
      <c r="E68" s="99"/>
      <c r="F68" s="98"/>
      <c r="G68" s="100"/>
      <c r="H68" s="99"/>
      <c r="I68" s="98">
        <f>C68</f>
        <v>135709</v>
      </c>
      <c r="J68" s="100"/>
      <c r="K68" s="98"/>
      <c r="L68" s="69"/>
      <c r="M68" s="69"/>
      <c r="N68" s="100"/>
    </row>
    <row r="69" spans="1:14">
      <c r="A69" s="861" t="s">
        <v>329</v>
      </c>
      <c r="B69" s="68" t="s">
        <v>91</v>
      </c>
      <c r="C69" s="837">
        <v>14519</v>
      </c>
      <c r="D69" s="98"/>
      <c r="E69" s="99"/>
      <c r="F69" s="98"/>
      <c r="G69" s="100"/>
      <c r="H69" s="99"/>
      <c r="I69" s="98"/>
      <c r="J69" s="100"/>
      <c r="K69" s="98"/>
      <c r="L69" s="69"/>
      <c r="M69" s="69">
        <f>C69</f>
        <v>14519</v>
      </c>
      <c r="N69" s="100"/>
    </row>
    <row r="70" spans="1:14">
      <c r="A70" s="861" t="s">
        <v>329</v>
      </c>
      <c r="B70" s="68" t="s">
        <v>93</v>
      </c>
      <c r="C70" s="837">
        <v>14519</v>
      </c>
      <c r="D70" s="98"/>
      <c r="E70" s="99"/>
      <c r="F70" s="98"/>
      <c r="G70" s="100"/>
      <c r="H70" s="99"/>
      <c r="I70" s="98"/>
      <c r="J70" s="100"/>
      <c r="K70" s="98"/>
      <c r="L70" s="69"/>
      <c r="M70" s="69">
        <f t="shared" si="2"/>
        <v>14519</v>
      </c>
      <c r="N70" s="100"/>
    </row>
    <row r="71" spans="1:14">
      <c r="A71" s="861" t="s">
        <v>48</v>
      </c>
      <c r="B71" s="68" t="s">
        <v>48</v>
      </c>
      <c r="C71" s="837">
        <v>17259</v>
      </c>
      <c r="D71" s="98"/>
      <c r="E71" s="99"/>
      <c r="F71" s="98"/>
      <c r="G71" s="100"/>
      <c r="H71" s="99"/>
      <c r="I71" s="98"/>
      <c r="J71" s="100"/>
      <c r="K71" s="98"/>
      <c r="L71" s="69"/>
      <c r="M71" s="69">
        <f t="shared" si="2"/>
        <v>17259</v>
      </c>
      <c r="N71" s="100"/>
    </row>
    <row r="72" spans="1:14">
      <c r="A72" s="861" t="s">
        <v>330</v>
      </c>
      <c r="B72" s="957" t="s">
        <v>88</v>
      </c>
      <c r="C72" s="62">
        <v>15000</v>
      </c>
      <c r="D72" s="98"/>
      <c r="E72" s="99"/>
      <c r="F72" s="98">
        <f>C72</f>
        <v>15000</v>
      </c>
      <c r="G72" s="100"/>
      <c r="H72" s="99"/>
      <c r="I72" s="98"/>
      <c r="J72" s="100"/>
      <c r="K72" s="98"/>
      <c r="L72" s="69"/>
      <c r="M72" s="98"/>
      <c r="N72" s="100"/>
    </row>
    <row r="73" spans="1:14">
      <c r="A73" s="861" t="s">
        <v>351</v>
      </c>
      <c r="B73" s="872" t="s">
        <v>88</v>
      </c>
      <c r="C73" s="62">
        <v>24400</v>
      </c>
      <c r="D73" s="98"/>
      <c r="E73" s="99"/>
      <c r="F73" s="98"/>
      <c r="G73" s="100"/>
      <c r="H73" s="99"/>
      <c r="I73" s="98"/>
      <c r="J73" s="100"/>
      <c r="K73" s="98"/>
      <c r="L73" s="69"/>
      <c r="M73" s="98">
        <f t="shared" si="2"/>
        <v>24400</v>
      </c>
      <c r="N73" s="100"/>
    </row>
    <row r="74" spans="1:14" s="64" customFormat="1" ht="4.5" customHeight="1">
      <c r="A74" s="63"/>
      <c r="D74" s="98"/>
      <c r="E74" s="99"/>
      <c r="F74" s="98"/>
      <c r="G74" s="100"/>
      <c r="H74" s="99"/>
      <c r="I74" s="98"/>
      <c r="J74" s="100"/>
      <c r="K74" s="98"/>
      <c r="L74" s="69"/>
      <c r="M74" s="98"/>
      <c r="N74" s="100"/>
    </row>
    <row r="75" spans="1:14" s="64" customFormat="1">
      <c r="A75" s="66" t="s">
        <v>123</v>
      </c>
      <c r="B75" s="68"/>
      <c r="C75" s="62"/>
      <c r="D75" s="98"/>
      <c r="E75" s="99"/>
      <c r="F75" s="98"/>
      <c r="G75" s="100"/>
      <c r="H75" s="99"/>
      <c r="I75" s="98"/>
      <c r="J75" s="100"/>
      <c r="K75" s="98"/>
      <c r="L75" s="69"/>
      <c r="M75" s="98"/>
      <c r="N75" s="100"/>
    </row>
    <row r="76" spans="1:14">
      <c r="A76" s="67" t="s">
        <v>97</v>
      </c>
      <c r="B76" s="77"/>
      <c r="C76" s="77"/>
      <c r="D76" s="203">
        <f t="shared" ref="D76:N76" si="3">D8</f>
        <v>0</v>
      </c>
      <c r="E76" s="230">
        <f t="shared" si="3"/>
        <v>221711.33333333331</v>
      </c>
      <c r="F76" s="203">
        <f t="shared" si="3"/>
        <v>110855.66666666666</v>
      </c>
      <c r="G76" s="208">
        <f t="shared" si="3"/>
        <v>0</v>
      </c>
      <c r="H76" s="230">
        <f t="shared" si="3"/>
        <v>0</v>
      </c>
      <c r="I76" s="203">
        <f t="shared" si="3"/>
        <v>0</v>
      </c>
      <c r="J76" s="208">
        <f t="shared" si="3"/>
        <v>0</v>
      </c>
      <c r="K76" s="203">
        <f t="shared" si="3"/>
        <v>0</v>
      </c>
      <c r="L76" s="203">
        <f t="shared" si="3"/>
        <v>0</v>
      </c>
      <c r="M76" s="203">
        <f t="shared" si="3"/>
        <v>0</v>
      </c>
      <c r="N76" s="208">
        <f t="shared" si="3"/>
        <v>0</v>
      </c>
    </row>
    <row r="77" spans="1:14">
      <c r="A77" s="67" t="s">
        <v>98</v>
      </c>
      <c r="B77" s="77"/>
      <c r="C77" s="77"/>
      <c r="D77" s="203">
        <f t="shared" ref="D77:N77" si="4">D9+D11+D17+D19+D27+D31+D37+D42+D45+D48+D51+D53+D61+D62+D65+D71</f>
        <v>0</v>
      </c>
      <c r="E77" s="230">
        <f t="shared" si="4"/>
        <v>77635</v>
      </c>
      <c r="F77" s="203">
        <f t="shared" si="4"/>
        <v>71538.666666666657</v>
      </c>
      <c r="G77" s="208">
        <f t="shared" si="4"/>
        <v>35769.333333333328</v>
      </c>
      <c r="H77" s="230">
        <f t="shared" si="4"/>
        <v>161301.79999999999</v>
      </c>
      <c r="I77" s="203">
        <f t="shared" si="4"/>
        <v>75724.17</v>
      </c>
      <c r="J77" s="208">
        <f t="shared" si="4"/>
        <v>25008</v>
      </c>
      <c r="K77" s="203">
        <f t="shared" si="4"/>
        <v>0</v>
      </c>
      <c r="L77" s="203">
        <f t="shared" si="4"/>
        <v>42681</v>
      </c>
      <c r="M77" s="203">
        <f t="shared" si="4"/>
        <v>31778</v>
      </c>
      <c r="N77" s="208">
        <f t="shared" si="4"/>
        <v>0</v>
      </c>
    </row>
    <row r="78" spans="1:14">
      <c r="A78" s="67" t="s">
        <v>99</v>
      </c>
      <c r="B78" s="77"/>
      <c r="C78" s="77"/>
      <c r="D78" s="203">
        <f t="shared" ref="D78:N78" si="5">D29+D35+D46+D58+D69</f>
        <v>0</v>
      </c>
      <c r="E78" s="230">
        <f t="shared" si="5"/>
        <v>0</v>
      </c>
      <c r="F78" s="203">
        <f t="shared" si="5"/>
        <v>93714</v>
      </c>
      <c r="G78" s="208">
        <f t="shared" si="5"/>
        <v>46857</v>
      </c>
      <c r="H78" s="230">
        <f t="shared" si="5"/>
        <v>338739.7</v>
      </c>
      <c r="I78" s="203">
        <f t="shared" si="5"/>
        <v>80981.333333333328</v>
      </c>
      <c r="J78" s="208">
        <f t="shared" si="5"/>
        <v>40490.666666666664</v>
      </c>
      <c r="K78" s="203">
        <f t="shared" si="5"/>
        <v>396694.66666666663</v>
      </c>
      <c r="L78" s="203">
        <f t="shared" si="5"/>
        <v>198347.33333333331</v>
      </c>
      <c r="M78" s="203">
        <f t="shared" si="5"/>
        <v>14519</v>
      </c>
      <c r="N78" s="208">
        <f t="shared" si="5"/>
        <v>0</v>
      </c>
    </row>
    <row r="79" spans="1:14">
      <c r="A79" s="67" t="s">
        <v>100</v>
      </c>
      <c r="B79" s="77"/>
      <c r="C79" s="77"/>
      <c r="D79" s="203">
        <f t="shared" ref="D79:N79" si="6">D30+D36+D47+D59+D70</f>
        <v>0</v>
      </c>
      <c r="E79" s="230">
        <f t="shared" si="6"/>
        <v>0</v>
      </c>
      <c r="F79" s="203">
        <f t="shared" si="6"/>
        <v>10000</v>
      </c>
      <c r="G79" s="208">
        <f t="shared" si="6"/>
        <v>5000</v>
      </c>
      <c r="H79" s="230">
        <f t="shared" si="6"/>
        <v>20000</v>
      </c>
      <c r="I79" s="203">
        <f t="shared" si="6"/>
        <v>15000</v>
      </c>
      <c r="J79" s="208">
        <f t="shared" si="6"/>
        <v>0</v>
      </c>
      <c r="K79" s="203">
        <f t="shared" si="6"/>
        <v>120000</v>
      </c>
      <c r="L79" s="203">
        <f t="shared" si="6"/>
        <v>60000</v>
      </c>
      <c r="M79" s="203">
        <f t="shared" si="6"/>
        <v>14519</v>
      </c>
      <c r="N79" s="208">
        <f t="shared" si="6"/>
        <v>0</v>
      </c>
    </row>
    <row r="80" spans="1:14">
      <c r="A80" s="67" t="s">
        <v>101</v>
      </c>
      <c r="B80" s="77"/>
      <c r="C80" s="77"/>
      <c r="D80" s="203">
        <f t="shared" ref="D80:N80" si="7">D40+D44+D63+D66+D12</f>
        <v>0</v>
      </c>
      <c r="E80" s="230">
        <f t="shared" si="7"/>
        <v>241523.20000000001</v>
      </c>
      <c r="F80" s="203">
        <f t="shared" si="7"/>
        <v>0</v>
      </c>
      <c r="G80" s="208">
        <f t="shared" si="7"/>
        <v>0</v>
      </c>
      <c r="H80" s="230">
        <f t="shared" si="7"/>
        <v>3687.5333333333333</v>
      </c>
      <c r="I80" s="203">
        <f t="shared" si="7"/>
        <v>108509.76666666666</v>
      </c>
      <c r="J80" s="208">
        <f t="shared" si="7"/>
        <v>53333</v>
      </c>
      <c r="K80" s="203">
        <f t="shared" si="7"/>
        <v>0</v>
      </c>
      <c r="L80" s="203">
        <f t="shared" si="7"/>
        <v>200000</v>
      </c>
      <c r="M80" s="203">
        <f t="shared" si="7"/>
        <v>25920</v>
      </c>
      <c r="N80" s="208">
        <f t="shared" si="7"/>
        <v>0</v>
      </c>
    </row>
    <row r="81" spans="1:15">
      <c r="A81" s="67" t="s">
        <v>411</v>
      </c>
      <c r="B81" s="77"/>
      <c r="C81" s="77"/>
      <c r="D81" s="203">
        <f>D13+D41+D67</f>
        <v>0</v>
      </c>
      <c r="E81" s="230">
        <f t="shared" ref="E81:N81" si="8">E13+E41+E67</f>
        <v>10000</v>
      </c>
      <c r="F81" s="203">
        <f t="shared" si="8"/>
        <v>0</v>
      </c>
      <c r="G81" s="208">
        <f t="shared" si="8"/>
        <v>0</v>
      </c>
      <c r="H81" s="230">
        <f t="shared" si="8"/>
        <v>0</v>
      </c>
      <c r="I81" s="203">
        <f t="shared" si="8"/>
        <v>10000</v>
      </c>
      <c r="J81" s="208">
        <f t="shared" si="8"/>
        <v>5000</v>
      </c>
      <c r="K81" s="203">
        <f t="shared" si="8"/>
        <v>0</v>
      </c>
      <c r="L81" s="203">
        <f t="shared" si="8"/>
        <v>0</v>
      </c>
      <c r="M81" s="203">
        <f t="shared" si="8"/>
        <v>50000</v>
      </c>
      <c r="N81" s="208">
        <f t="shared" si="8"/>
        <v>0</v>
      </c>
    </row>
    <row r="82" spans="1:15">
      <c r="A82" s="861" t="s">
        <v>357</v>
      </c>
      <c r="B82" s="77"/>
      <c r="C82" s="77"/>
      <c r="D82" s="203">
        <f t="shared" ref="D82:N82" si="9">D20+D49+D60+D68</f>
        <v>0</v>
      </c>
      <c r="E82" s="230">
        <f t="shared" si="9"/>
        <v>0</v>
      </c>
      <c r="F82" s="203">
        <f t="shared" si="9"/>
        <v>36727</v>
      </c>
      <c r="G82" s="208">
        <f t="shared" si="9"/>
        <v>0</v>
      </c>
      <c r="H82" s="230">
        <f t="shared" si="9"/>
        <v>0</v>
      </c>
      <c r="I82" s="203">
        <f t="shared" si="9"/>
        <v>166473</v>
      </c>
      <c r="J82" s="208">
        <f t="shared" si="9"/>
        <v>15382</v>
      </c>
      <c r="K82" s="203">
        <f t="shared" si="9"/>
        <v>0</v>
      </c>
      <c r="L82" s="203">
        <f t="shared" si="9"/>
        <v>0</v>
      </c>
      <c r="M82" s="203">
        <f t="shared" si="9"/>
        <v>18333</v>
      </c>
      <c r="N82" s="208">
        <f t="shared" si="9"/>
        <v>0</v>
      </c>
    </row>
    <row r="83" spans="1:15">
      <c r="A83" s="67" t="s">
        <v>104</v>
      </c>
      <c r="B83" s="77"/>
      <c r="C83" s="77"/>
      <c r="D83" s="203">
        <f t="shared" ref="D83:N83" si="10">D7+D18+D39+D50+D52</f>
        <v>0</v>
      </c>
      <c r="E83" s="230">
        <f t="shared" si="10"/>
        <v>277586.66666666663</v>
      </c>
      <c r="F83" s="203">
        <f t="shared" si="10"/>
        <v>154152.33333333331</v>
      </c>
      <c r="G83" s="208">
        <f t="shared" si="10"/>
        <v>0</v>
      </c>
      <c r="H83" s="230">
        <f t="shared" si="10"/>
        <v>0</v>
      </c>
      <c r="I83" s="203">
        <f t="shared" si="10"/>
        <v>353510.32799999998</v>
      </c>
      <c r="J83" s="208">
        <f t="shared" si="10"/>
        <v>0</v>
      </c>
      <c r="K83" s="203">
        <f t="shared" si="10"/>
        <v>0</v>
      </c>
      <c r="L83" s="203">
        <f t="shared" si="10"/>
        <v>0</v>
      </c>
      <c r="M83" s="203">
        <f t="shared" si="10"/>
        <v>0</v>
      </c>
      <c r="N83" s="208">
        <f t="shared" si="10"/>
        <v>0</v>
      </c>
    </row>
    <row r="84" spans="1:15">
      <c r="A84" s="67" t="s">
        <v>102</v>
      </c>
      <c r="B84" s="77"/>
      <c r="C84" s="77"/>
      <c r="D84" s="203">
        <f t="shared" ref="D84:N84" si="11">D10+D15+D28+D38+D43+D54+D64</f>
        <v>0</v>
      </c>
      <c r="E84" s="230">
        <f t="shared" si="11"/>
        <v>168857.8</v>
      </c>
      <c r="F84" s="203">
        <f t="shared" si="11"/>
        <v>139099.70000000001</v>
      </c>
      <c r="G84" s="208">
        <f t="shared" si="11"/>
        <v>0</v>
      </c>
      <c r="H84" s="230">
        <f t="shared" si="11"/>
        <v>515543</v>
      </c>
      <c r="I84" s="203">
        <f t="shared" si="11"/>
        <v>169059</v>
      </c>
      <c r="J84" s="208">
        <f t="shared" si="11"/>
        <v>0</v>
      </c>
      <c r="K84" s="203">
        <f t="shared" si="11"/>
        <v>0</v>
      </c>
      <c r="L84" s="203">
        <f t="shared" si="11"/>
        <v>174620.66666666666</v>
      </c>
      <c r="M84" s="203">
        <f t="shared" si="11"/>
        <v>87310.333333333328</v>
      </c>
      <c r="N84" s="208">
        <f t="shared" si="11"/>
        <v>0</v>
      </c>
    </row>
    <row r="85" spans="1:15">
      <c r="A85" s="67" t="s">
        <v>103</v>
      </c>
      <c r="B85" s="77"/>
      <c r="C85" s="77"/>
      <c r="D85" s="203">
        <v>0</v>
      </c>
      <c r="E85" s="230">
        <v>0</v>
      </c>
      <c r="F85" s="203">
        <v>0</v>
      </c>
      <c r="G85" s="208">
        <v>0</v>
      </c>
      <c r="H85" s="230">
        <v>0</v>
      </c>
      <c r="I85" s="203">
        <v>0</v>
      </c>
      <c r="J85" s="208">
        <v>0</v>
      </c>
      <c r="K85" s="203">
        <v>0</v>
      </c>
      <c r="L85" s="203">
        <v>0</v>
      </c>
      <c r="M85" s="203">
        <v>0</v>
      </c>
      <c r="N85" s="208">
        <v>0</v>
      </c>
    </row>
    <row r="86" spans="1:15">
      <c r="A86" s="67" t="s">
        <v>352</v>
      </c>
      <c r="B86" s="77"/>
      <c r="C86" s="77"/>
      <c r="D86" s="62">
        <f>D32+D55+D73</f>
        <v>0</v>
      </c>
      <c r="E86" s="230">
        <f t="shared" ref="E86:N86" si="12">E23+E32+E55+E73</f>
        <v>69401.333333333328</v>
      </c>
      <c r="F86" s="203">
        <f t="shared" si="12"/>
        <v>188612.66666666666</v>
      </c>
      <c r="G86" s="208">
        <f t="shared" si="12"/>
        <v>76956</v>
      </c>
      <c r="H86" s="230">
        <f t="shared" si="12"/>
        <v>179095.67867129482</v>
      </c>
      <c r="I86" s="203">
        <f t="shared" si="12"/>
        <v>0</v>
      </c>
      <c r="J86" s="208">
        <f t="shared" si="12"/>
        <v>0</v>
      </c>
      <c r="K86" s="203">
        <f t="shared" si="12"/>
        <v>0</v>
      </c>
      <c r="L86" s="203">
        <f t="shared" si="12"/>
        <v>0</v>
      </c>
      <c r="M86" s="203">
        <f t="shared" si="12"/>
        <v>24400</v>
      </c>
      <c r="N86" s="208">
        <f t="shared" si="12"/>
        <v>0</v>
      </c>
    </row>
    <row r="87" spans="1:15">
      <c r="A87" s="67" t="s">
        <v>353</v>
      </c>
      <c r="B87" s="77"/>
      <c r="C87" s="77"/>
      <c r="D87" s="203">
        <f t="shared" ref="D87:N87" si="13">D21</f>
        <v>0</v>
      </c>
      <c r="E87" s="230">
        <f t="shared" si="13"/>
        <v>12000</v>
      </c>
      <c r="F87" s="203">
        <f t="shared" si="13"/>
        <v>0</v>
      </c>
      <c r="G87" s="208">
        <f t="shared" si="13"/>
        <v>0</v>
      </c>
      <c r="H87" s="230">
        <f t="shared" si="13"/>
        <v>0</v>
      </c>
      <c r="I87" s="203">
        <f t="shared" si="13"/>
        <v>0</v>
      </c>
      <c r="J87" s="208">
        <f t="shared" si="13"/>
        <v>0</v>
      </c>
      <c r="K87" s="203">
        <f t="shared" si="13"/>
        <v>0</v>
      </c>
      <c r="L87" s="203">
        <f t="shared" si="13"/>
        <v>0</v>
      </c>
      <c r="M87" s="203">
        <f t="shared" si="13"/>
        <v>0</v>
      </c>
      <c r="N87" s="208">
        <f t="shared" si="13"/>
        <v>0</v>
      </c>
    </row>
    <row r="88" spans="1:15">
      <c r="A88" s="67" t="s">
        <v>354</v>
      </c>
      <c r="B88" s="77"/>
      <c r="C88" s="77"/>
      <c r="D88" s="203">
        <f t="shared" ref="D88:N88" si="14">D22</f>
        <v>0</v>
      </c>
      <c r="E88" s="230">
        <f t="shared" si="14"/>
        <v>132750</v>
      </c>
      <c r="F88" s="203">
        <f t="shared" si="14"/>
        <v>0</v>
      </c>
      <c r="G88" s="208">
        <f t="shared" si="14"/>
        <v>0</v>
      </c>
      <c r="H88" s="230">
        <f t="shared" si="14"/>
        <v>0</v>
      </c>
      <c r="I88" s="203">
        <f t="shared" si="14"/>
        <v>0</v>
      </c>
      <c r="J88" s="208">
        <f t="shared" si="14"/>
        <v>0</v>
      </c>
      <c r="K88" s="203">
        <f t="shared" si="14"/>
        <v>0</v>
      </c>
      <c r="L88" s="203">
        <f t="shared" si="14"/>
        <v>0</v>
      </c>
      <c r="M88" s="203">
        <f t="shared" si="14"/>
        <v>0</v>
      </c>
      <c r="N88" s="208">
        <f t="shared" si="14"/>
        <v>0</v>
      </c>
    </row>
    <row r="89" spans="1:15">
      <c r="A89" s="67" t="s">
        <v>355</v>
      </c>
      <c r="B89" s="77"/>
      <c r="C89" s="77"/>
      <c r="D89" s="203">
        <f t="shared" ref="D89:N89" si="15">D24</f>
        <v>0</v>
      </c>
      <c r="E89" s="230">
        <f t="shared" si="15"/>
        <v>0</v>
      </c>
      <c r="F89" s="203">
        <f t="shared" si="15"/>
        <v>12000</v>
      </c>
      <c r="G89" s="208">
        <f t="shared" si="15"/>
        <v>0</v>
      </c>
      <c r="H89" s="230">
        <f t="shared" si="15"/>
        <v>0</v>
      </c>
      <c r="I89" s="203">
        <f t="shared" si="15"/>
        <v>0</v>
      </c>
      <c r="J89" s="208">
        <f t="shared" si="15"/>
        <v>0</v>
      </c>
      <c r="K89" s="203">
        <f t="shared" si="15"/>
        <v>0</v>
      </c>
      <c r="L89" s="203">
        <f t="shared" si="15"/>
        <v>0</v>
      </c>
      <c r="M89" s="203">
        <f t="shared" si="15"/>
        <v>0</v>
      </c>
      <c r="N89" s="208">
        <f t="shared" si="15"/>
        <v>0</v>
      </c>
    </row>
    <row r="90" spans="1:15">
      <c r="A90" s="67" t="s">
        <v>356</v>
      </c>
      <c r="B90" s="77"/>
      <c r="C90" s="77"/>
      <c r="D90" s="203">
        <f t="shared" ref="D90" si="16">D72</f>
        <v>0</v>
      </c>
      <c r="E90" s="230">
        <f t="shared" ref="E90:N90" si="17">E72</f>
        <v>0</v>
      </c>
      <c r="F90" s="203">
        <f t="shared" si="17"/>
        <v>15000</v>
      </c>
      <c r="G90" s="208">
        <f t="shared" si="17"/>
        <v>0</v>
      </c>
      <c r="H90" s="230">
        <f t="shared" si="17"/>
        <v>0</v>
      </c>
      <c r="I90" s="203">
        <f t="shared" si="17"/>
        <v>0</v>
      </c>
      <c r="J90" s="208">
        <f t="shared" si="17"/>
        <v>0</v>
      </c>
      <c r="K90" s="203">
        <f t="shared" si="17"/>
        <v>0</v>
      </c>
      <c r="L90" s="203">
        <f t="shared" si="17"/>
        <v>0</v>
      </c>
      <c r="M90" s="203">
        <f t="shared" si="17"/>
        <v>0</v>
      </c>
      <c r="N90" s="208">
        <f t="shared" si="17"/>
        <v>0</v>
      </c>
    </row>
    <row r="91" spans="1:15" ht="13.5" thickBot="1">
      <c r="A91" s="39" t="s">
        <v>361</v>
      </c>
      <c r="D91" s="862">
        <f>D14+D23</f>
        <v>0</v>
      </c>
      <c r="E91" s="899">
        <f t="shared" ref="E91:N91" si="18">E14</f>
        <v>85000</v>
      </c>
      <c r="F91" s="900">
        <f t="shared" si="18"/>
        <v>0</v>
      </c>
      <c r="G91" s="897">
        <f t="shared" si="18"/>
        <v>0</v>
      </c>
      <c r="H91" s="899">
        <f t="shared" si="18"/>
        <v>0</v>
      </c>
      <c r="I91" s="900">
        <f t="shared" si="18"/>
        <v>0</v>
      </c>
      <c r="J91" s="897">
        <f t="shared" si="18"/>
        <v>0</v>
      </c>
      <c r="K91" s="38">
        <f t="shared" si="18"/>
        <v>0</v>
      </c>
      <c r="L91" s="38">
        <f t="shared" si="18"/>
        <v>0</v>
      </c>
      <c r="M91" s="38">
        <f t="shared" si="18"/>
        <v>0</v>
      </c>
      <c r="N91" s="38">
        <f t="shared" si="18"/>
        <v>0</v>
      </c>
    </row>
    <row r="92" spans="1:15" ht="13.5" thickBot="1">
      <c r="A92" s="91" t="s">
        <v>32</v>
      </c>
      <c r="B92" s="90"/>
      <c r="C92" s="90"/>
      <c r="D92" s="93">
        <f t="shared" ref="D92:N92" si="19">SUM(D76:D90)</f>
        <v>0</v>
      </c>
      <c r="E92" s="96">
        <f t="shared" si="19"/>
        <v>1211465.3333333333</v>
      </c>
      <c r="F92" s="93">
        <f t="shared" si="19"/>
        <v>831700.03333333333</v>
      </c>
      <c r="G92" s="97">
        <f t="shared" si="19"/>
        <v>164582.33333333331</v>
      </c>
      <c r="H92" s="96">
        <f t="shared" si="19"/>
        <v>1218367.712004628</v>
      </c>
      <c r="I92" s="93">
        <f t="shared" si="19"/>
        <v>979257.598</v>
      </c>
      <c r="J92" s="97">
        <f t="shared" si="19"/>
        <v>139213.66666666666</v>
      </c>
      <c r="K92" s="96">
        <f t="shared" si="19"/>
        <v>516694.66666666663</v>
      </c>
      <c r="L92" s="93">
        <f t="shared" si="19"/>
        <v>675649</v>
      </c>
      <c r="M92" s="93">
        <f t="shared" si="19"/>
        <v>266779.33333333331</v>
      </c>
      <c r="N92" s="97">
        <f t="shared" si="19"/>
        <v>0</v>
      </c>
    </row>
    <row r="93" spans="1:15">
      <c r="E93" s="186"/>
      <c r="F93" s="186"/>
      <c r="G93" s="186"/>
      <c r="H93" s="186"/>
      <c r="I93" s="186"/>
      <c r="J93" s="186"/>
      <c r="K93" s="186"/>
      <c r="L93" s="186"/>
      <c r="M93" s="186"/>
      <c r="N93" s="186"/>
    </row>
    <row r="94" spans="1:15">
      <c r="E94" s="187"/>
      <c r="F94" s="187"/>
      <c r="G94" s="187"/>
      <c r="H94" s="187"/>
      <c r="I94" s="187"/>
      <c r="J94" s="187"/>
      <c r="K94" s="187"/>
      <c r="L94" s="187"/>
      <c r="M94" s="187"/>
      <c r="N94" s="187"/>
    </row>
    <row r="95" spans="1:15">
      <c r="E95" s="188"/>
      <c r="F95" s="188"/>
      <c r="G95" s="188"/>
      <c r="H95" s="188"/>
      <c r="I95" s="188"/>
      <c r="J95" s="188"/>
      <c r="K95" s="188"/>
      <c r="L95" s="188"/>
      <c r="M95" s="188"/>
      <c r="N95" s="188"/>
    </row>
    <row r="96" spans="1:15"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64"/>
    </row>
    <row r="97" spans="5:15"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64"/>
    </row>
    <row r="98" spans="5:15">
      <c r="E98" s="186"/>
      <c r="F98" s="186"/>
      <c r="G98" s="186"/>
      <c r="H98" s="186"/>
      <c r="I98" s="186"/>
      <c r="J98" s="186"/>
      <c r="K98" s="186"/>
      <c r="L98" s="186"/>
      <c r="M98" s="186"/>
      <c r="N98" s="186"/>
    </row>
  </sheetData>
  <printOptions horizontalCentered="1"/>
  <pageMargins left="0.2" right="0.2" top="0.25" bottom="0.25" header="0.3" footer="0.3"/>
  <pageSetup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F12" sqref="F12"/>
    </sheetView>
  </sheetViews>
  <sheetFormatPr defaultColWidth="9.140625" defaultRowHeight="12.75"/>
  <cols>
    <col min="1" max="1" width="6.140625" style="38" customWidth="1"/>
    <col min="2" max="2" width="14.7109375" style="38" customWidth="1"/>
    <col min="3" max="3" width="13.42578125" style="38" customWidth="1"/>
    <col min="4" max="4" width="10" style="38" customWidth="1"/>
    <col min="5" max="5" width="9.140625" style="38"/>
    <col min="6" max="9" width="12.7109375" style="38" customWidth="1"/>
    <col min="10" max="10" width="13.5703125" style="38" bestFit="1" customWidth="1"/>
    <col min="11" max="16384" width="9.140625" style="38"/>
  </cols>
  <sheetData>
    <row r="1" spans="1:11">
      <c r="A1" s="54" t="s">
        <v>83</v>
      </c>
      <c r="B1" s="532"/>
      <c r="C1" s="532"/>
      <c r="D1" s="532"/>
      <c r="E1" s="532"/>
      <c r="F1" s="532"/>
      <c r="G1" s="532"/>
      <c r="H1" s="532"/>
      <c r="I1" s="532"/>
      <c r="J1" s="532"/>
      <c r="K1" s="533"/>
    </row>
    <row r="2" spans="1:11" ht="13.5" thickBot="1">
      <c r="A2" s="57" t="s">
        <v>236</v>
      </c>
      <c r="B2" s="539"/>
      <c r="C2" s="539"/>
      <c r="D2" s="539"/>
      <c r="E2" s="539"/>
      <c r="F2" s="539"/>
      <c r="G2" s="539"/>
      <c r="H2" s="539"/>
      <c r="I2" s="539"/>
      <c r="J2" s="539"/>
      <c r="K2" s="540"/>
    </row>
    <row r="3" spans="1:11">
      <c r="A3" s="528"/>
      <c r="B3" s="433" t="s">
        <v>222</v>
      </c>
      <c r="C3" s="433" t="s">
        <v>224</v>
      </c>
      <c r="D3" s="504" t="s">
        <v>225</v>
      </c>
      <c r="E3" s="521"/>
      <c r="F3" s="504"/>
      <c r="G3" s="521"/>
      <c r="H3" s="433"/>
      <c r="I3" s="504"/>
      <c r="J3" s="434" t="s">
        <v>32</v>
      </c>
      <c r="K3" s="434" t="s">
        <v>200</v>
      </c>
    </row>
    <row r="4" spans="1:11" ht="13.5" thickBot="1">
      <c r="A4" s="126" t="s">
        <v>221</v>
      </c>
      <c r="B4" s="152" t="s">
        <v>223</v>
      </c>
      <c r="C4" s="152" t="s">
        <v>200</v>
      </c>
      <c r="D4" s="199" t="s">
        <v>109</v>
      </c>
      <c r="E4" s="522"/>
      <c r="F4" s="199"/>
      <c r="G4" s="522"/>
      <c r="H4" s="152"/>
      <c r="I4" s="199"/>
      <c r="J4" s="435" t="s">
        <v>200</v>
      </c>
      <c r="K4" s="435" t="s">
        <v>204</v>
      </c>
    </row>
    <row r="5" spans="1:11">
      <c r="A5" s="67" t="s">
        <v>226</v>
      </c>
      <c r="B5" s="68"/>
      <c r="C5" s="178">
        <f>'Land Values'!D7</f>
        <v>112875000</v>
      </c>
      <c r="D5" s="246">
        <f>'Land Values'!E7</f>
        <v>936540</v>
      </c>
      <c r="E5" s="348"/>
      <c r="F5" s="179"/>
      <c r="G5" s="177"/>
      <c r="H5" s="178"/>
      <c r="I5" s="179"/>
      <c r="J5" s="537">
        <f>C5</f>
        <v>112875000</v>
      </c>
      <c r="K5" s="535">
        <f>J5/D5</f>
        <v>120.52341597796143</v>
      </c>
    </row>
    <row r="6" spans="1:11">
      <c r="A6" s="67" t="s">
        <v>312</v>
      </c>
      <c r="B6" s="79"/>
      <c r="C6" s="182">
        <f>'Land Values'!F21</f>
        <v>51473913.050964192</v>
      </c>
      <c r="D6" s="246">
        <f>'Land Values'!E21</f>
        <v>414647</v>
      </c>
      <c r="E6" s="348"/>
      <c r="F6" s="183"/>
      <c r="G6" s="181"/>
      <c r="H6" s="182"/>
      <c r="I6" s="183"/>
      <c r="J6" s="538">
        <f>C6</f>
        <v>51473913.050964192</v>
      </c>
      <c r="K6" s="536">
        <f>J6/D6</f>
        <v>124.13911845730028</v>
      </c>
    </row>
    <row r="7" spans="1:11" ht="13.5" thickBot="1">
      <c r="A7" s="126" t="s">
        <v>32</v>
      </c>
      <c r="B7" s="534"/>
      <c r="C7" s="163">
        <f>SUM(C5:C6)</f>
        <v>164348913.05096418</v>
      </c>
      <c r="D7" s="525">
        <f>SUM(D5:D6)</f>
        <v>1351187</v>
      </c>
      <c r="E7" s="541"/>
      <c r="F7" s="164"/>
      <c r="G7" s="162"/>
      <c r="H7" s="163"/>
      <c r="I7" s="164"/>
      <c r="J7" s="518">
        <f>SUM(J5:J6)</f>
        <v>164348913.05096418</v>
      </c>
      <c r="K7" s="542">
        <f>J7/D7</f>
        <v>121.63298866179454</v>
      </c>
    </row>
    <row r="8" spans="1:11">
      <c r="A8" s="39" t="s">
        <v>220</v>
      </c>
      <c r="B8" s="527"/>
      <c r="C8" s="530"/>
      <c r="D8" s="529"/>
      <c r="E8" s="529"/>
      <c r="F8" s="530"/>
      <c r="G8" s="530"/>
      <c r="H8" s="530"/>
      <c r="I8" s="530"/>
      <c r="J8" s="188"/>
      <c r="K8" s="531"/>
    </row>
    <row r="9" spans="1:11">
      <c r="A9" s="39" t="s">
        <v>229</v>
      </c>
      <c r="B9" s="527"/>
      <c r="C9" s="530"/>
      <c r="D9" s="529"/>
      <c r="E9" s="529"/>
      <c r="F9" s="530"/>
      <c r="G9" s="530"/>
      <c r="H9" s="530"/>
      <c r="I9" s="530"/>
      <c r="J9" s="188"/>
      <c r="K9" s="531"/>
    </row>
    <row r="10" spans="1:11" ht="13.5" thickBot="1">
      <c r="A10" s="39"/>
      <c r="B10" s="527"/>
      <c r="C10" s="530"/>
      <c r="D10" s="529"/>
      <c r="E10" s="529"/>
      <c r="F10" s="530"/>
      <c r="G10" s="530"/>
      <c r="H10" s="530"/>
      <c r="I10" s="530"/>
      <c r="J10" s="188"/>
      <c r="K10" s="531"/>
    </row>
    <row r="11" spans="1:11" ht="13.5" thickBot="1">
      <c r="A11" s="202" t="s">
        <v>230</v>
      </c>
      <c r="B11" s="275"/>
      <c r="C11" s="547"/>
      <c r="D11" s="548"/>
      <c r="E11" s="548"/>
      <c r="F11" s="549"/>
      <c r="G11" s="530"/>
      <c r="H11" s="530"/>
      <c r="I11" s="530"/>
      <c r="J11" s="188"/>
      <c r="K11" s="531"/>
    </row>
    <row r="12" spans="1:11">
      <c r="A12" s="139" t="s">
        <v>84</v>
      </c>
      <c r="B12" s="82"/>
      <c r="C12" s="544"/>
      <c r="D12" s="545"/>
      <c r="E12" s="545"/>
      <c r="F12" s="826">
        <f>D7</f>
        <v>1351187</v>
      </c>
      <c r="G12" s="530"/>
      <c r="H12" s="530"/>
      <c r="I12" s="530"/>
      <c r="J12" s="188"/>
      <c r="K12" s="531"/>
    </row>
    <row r="13" spans="1:11">
      <c r="A13" s="494" t="s">
        <v>231</v>
      </c>
      <c r="B13" s="543"/>
      <c r="C13" s="543"/>
      <c r="D13" s="543"/>
      <c r="E13" s="543"/>
      <c r="F13" s="185"/>
    </row>
    <row r="14" spans="1:11">
      <c r="A14" s="853" t="s">
        <v>232</v>
      </c>
      <c r="B14" s="64"/>
      <c r="C14" s="64"/>
      <c r="D14" s="64"/>
      <c r="E14" s="64"/>
      <c r="F14" s="546">
        <f>SUM(F12:F13)</f>
        <v>1351187</v>
      </c>
    </row>
    <row r="15" spans="1:11">
      <c r="A15" s="494" t="s">
        <v>319</v>
      </c>
      <c r="B15" s="543"/>
      <c r="C15" s="543"/>
      <c r="D15" s="543"/>
      <c r="E15" s="110" t="s">
        <v>233</v>
      </c>
      <c r="F15" s="827">
        <v>1.25</v>
      </c>
    </row>
    <row r="16" spans="1:11" ht="15" thickBot="1">
      <c r="A16" s="126" t="s">
        <v>234</v>
      </c>
      <c r="B16" s="127"/>
      <c r="C16" s="127"/>
      <c r="D16" s="127"/>
      <c r="E16" s="127"/>
      <c r="F16" s="164">
        <f>F14*F15</f>
        <v>1688983.75</v>
      </c>
    </row>
    <row r="17" spans="1:1">
      <c r="A17" s="39" t="s">
        <v>235</v>
      </c>
    </row>
  </sheetData>
  <printOptions horizontalCentered="1"/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showGridLines="0" view="pageBreakPreview" topLeftCell="A48" zoomScale="70" zoomScaleNormal="100" zoomScaleSheetLayoutView="70" workbookViewId="0">
      <selection activeCell="D128" sqref="D128"/>
    </sheetView>
  </sheetViews>
  <sheetFormatPr defaultColWidth="9.140625" defaultRowHeight="15"/>
  <cols>
    <col min="1" max="1" width="19.28515625" style="21" customWidth="1"/>
    <col min="2" max="2" width="33.85546875" style="21" customWidth="1"/>
    <col min="3" max="3" width="21.85546875" style="21" customWidth="1"/>
    <col min="4" max="4" width="20.5703125" style="12" customWidth="1"/>
    <col min="5" max="5" width="20.5703125" style="21" customWidth="1"/>
    <col min="6" max="6" width="22.7109375" style="21" customWidth="1"/>
    <col min="7" max="11" width="20.5703125" style="21" customWidth="1"/>
    <col min="12" max="12" width="21" style="21" customWidth="1"/>
    <col min="13" max="13" width="21.5703125" style="21" customWidth="1"/>
    <col min="14" max="14" width="27" style="21" customWidth="1"/>
    <col min="15" max="15" width="9.140625" style="21"/>
    <col min="16" max="16" width="19.28515625" style="21" customWidth="1"/>
    <col min="17" max="16384" width="9.140625" style="21"/>
  </cols>
  <sheetData>
    <row r="1" spans="1:14" ht="18.75" thickBot="1">
      <c r="A1" s="977" t="s">
        <v>64</v>
      </c>
      <c r="B1" s="978"/>
      <c r="C1" s="978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979"/>
    </row>
    <row r="2" spans="1:14" ht="16.5" thickBot="1">
      <c r="A2" s="753"/>
      <c r="B2" s="754"/>
      <c r="C2" s="754"/>
      <c r="D2" s="755" t="s">
        <v>58</v>
      </c>
      <c r="E2" s="381" t="s">
        <v>37</v>
      </c>
      <c r="F2" s="386"/>
      <c r="G2" s="383"/>
      <c r="H2" s="381" t="s">
        <v>80</v>
      </c>
      <c r="I2" s="384"/>
      <c r="J2" s="383"/>
      <c r="K2" s="385" t="s">
        <v>81</v>
      </c>
      <c r="L2" s="385"/>
      <c r="M2" s="386"/>
      <c r="N2" s="383"/>
    </row>
    <row r="3" spans="1:14" ht="16.5" thickBot="1">
      <c r="A3" s="4"/>
      <c r="B3" s="5"/>
      <c r="C3" s="5"/>
      <c r="D3" s="6" t="s">
        <v>311</v>
      </c>
      <c r="E3" s="34">
        <v>2019</v>
      </c>
      <c r="F3" s="6">
        <f>E3+1</f>
        <v>2020</v>
      </c>
      <c r="G3" s="7">
        <f t="shared" ref="G3:L3" si="0">F3+1</f>
        <v>2021</v>
      </c>
      <c r="H3" s="34">
        <f t="shared" si="0"/>
        <v>2022</v>
      </c>
      <c r="I3" s="6">
        <f t="shared" si="0"/>
        <v>2023</v>
      </c>
      <c r="J3" s="7">
        <f t="shared" si="0"/>
        <v>2024</v>
      </c>
      <c r="K3" s="6">
        <f t="shared" si="0"/>
        <v>2025</v>
      </c>
      <c r="L3" s="6">
        <f t="shared" si="0"/>
        <v>2026</v>
      </c>
      <c r="M3" s="6">
        <f>L3+1</f>
        <v>2027</v>
      </c>
      <c r="N3" s="7">
        <f>M3+1</f>
        <v>2028</v>
      </c>
    </row>
    <row r="4" spans="1:14" ht="16.5" thickBot="1">
      <c r="A4" s="28" t="s">
        <v>0</v>
      </c>
      <c r="B4" s="29"/>
      <c r="C4" s="29"/>
      <c r="D4" s="17"/>
      <c r="E4" s="474"/>
      <c r="F4" s="18"/>
      <c r="G4" s="24"/>
      <c r="H4" s="474"/>
      <c r="I4" s="18"/>
      <c r="J4" s="24"/>
      <c r="K4" s="18"/>
      <c r="L4" s="18"/>
      <c r="M4" s="18"/>
      <c r="N4" s="24"/>
    </row>
    <row r="5" spans="1:14">
      <c r="A5" s="665" t="s">
        <v>65</v>
      </c>
      <c r="B5" s="694"/>
      <c r="C5" s="694"/>
      <c r="D5" s="980">
        <f>'2.Market-Rate Rental Housing'!C60</f>
        <v>0</v>
      </c>
      <c r="E5" s="670">
        <f>'2.Market-Rate Rental Housing'!D60</f>
        <v>0</v>
      </c>
      <c r="F5" s="709">
        <f>'2.Market-Rate Rental Housing'!E60</f>
        <v>0</v>
      </c>
      <c r="G5" s="710">
        <f>'2.Market-Rate Rental Housing'!F60</f>
        <v>1117211.5590526799</v>
      </c>
      <c r="H5" s="670">
        <f>'2.Market-Rate Rental Housing'!G60</f>
        <v>2876819.7645606506</v>
      </c>
      <c r="I5" s="709">
        <f>'2.Market-Rate Rental Housing'!H60</f>
        <v>6631754.5143991001</v>
      </c>
      <c r="J5" s="710">
        <f>'2.Market-Rate Rental Housing'!I60</f>
        <v>12295272.869695932</v>
      </c>
      <c r="K5" s="709">
        <f>'2.Market-Rate Rental Housing'!J60</f>
        <v>21795478.507358856</v>
      </c>
      <c r="L5" s="709">
        <f>'2.Market-Rate Rental Housing'!K60</f>
        <v>31638771.671712492</v>
      </c>
      <c r="M5" s="709">
        <f>'2.Market-Rate Rental Housing'!L60</f>
        <v>36431151.306703568</v>
      </c>
      <c r="N5" s="710">
        <f>'2.Market-Rate Rental Housing'!M60</f>
        <v>37524085.845904663</v>
      </c>
    </row>
    <row r="6" spans="1:14">
      <c r="A6" s="665" t="s">
        <v>66</v>
      </c>
      <c r="B6" s="694"/>
      <c r="C6" s="694"/>
      <c r="D6" s="981">
        <f>'3.Market-Rate For-Sale Housing'!C37</f>
        <v>0</v>
      </c>
      <c r="E6" s="982">
        <f>'3.Market-Rate For-Sale Housing'!D37</f>
        <v>0</v>
      </c>
      <c r="F6" s="981">
        <f>'3.Market-Rate For-Sale Housing'!E37</f>
        <v>35637763.7628823</v>
      </c>
      <c r="G6" s="711">
        <f>'3.Market-Rate For-Sale Housing'!F37</f>
        <v>36706896.675768763</v>
      </c>
      <c r="H6" s="982">
        <f>'3.Market-Rate For-Sale Housing'!G37</f>
        <v>37808103.576041833</v>
      </c>
      <c r="I6" s="981">
        <f>'3.Market-Rate For-Sale Housing'!H37</f>
        <v>26604016.519938067</v>
      </c>
      <c r="J6" s="711">
        <f>'3.Market-Rate For-Sale Housing'!I37</f>
        <v>27402137.015536215</v>
      </c>
      <c r="K6" s="981">
        <f>'3.Market-Rate For-Sale Housing'!J37</f>
        <v>28496333.741586272</v>
      </c>
      <c r="L6" s="981">
        <f>'3.Market-Rate For-Sale Housing'!K37</f>
        <v>0</v>
      </c>
      <c r="M6" s="981">
        <f>'3.Market-Rate For-Sale Housing'!L37</f>
        <v>61519367.49321945</v>
      </c>
      <c r="N6" s="711">
        <f>'3.Market-Rate For-Sale Housing'!M37</f>
        <v>63364948.518016025</v>
      </c>
    </row>
    <row r="7" spans="1:14">
      <c r="A7" s="665" t="s">
        <v>67</v>
      </c>
      <c r="B7" s="694"/>
      <c r="C7" s="694"/>
      <c r="D7" s="981">
        <f>'4.Affordable Rental Housing'!C40</f>
        <v>0</v>
      </c>
      <c r="E7" s="671">
        <f>'4.Affordable Rental Housing'!D40</f>
        <v>0</v>
      </c>
      <c r="F7" s="712">
        <f>'4.Affordable Rental Housing'!E40</f>
        <v>56270.135999999999</v>
      </c>
      <c r="G7" s="713">
        <f>'4.Affordable Rental Housing'!F40</f>
        <v>127508.12817600001</v>
      </c>
      <c r="H7" s="671">
        <f>'4.Affordable Rental Housing'!G40</f>
        <v>310424.33386848005</v>
      </c>
      <c r="I7" s="712">
        <f>'4.Affordable Rental Housing'!H40</f>
        <v>1217460.3586372659</v>
      </c>
      <c r="J7" s="713">
        <f>'4.Affordable Rental Housing'!I40</f>
        <v>2482635.3252696078</v>
      </c>
      <c r="K7" s="712">
        <f>'4.Affordable Rental Housing'!J40</f>
        <v>3196392.9812846202</v>
      </c>
      <c r="L7" s="712">
        <f>'4.Affordable Rental Housing'!K40</f>
        <v>3292284.7707231585</v>
      </c>
      <c r="M7" s="712">
        <f>'4.Affordable Rental Housing'!L40</f>
        <v>3391053.313844854</v>
      </c>
      <c r="N7" s="713">
        <f>'4.Affordable Rental Housing'!M40</f>
        <v>3492784.9132601987</v>
      </c>
    </row>
    <row r="8" spans="1:14">
      <c r="A8" s="665" t="s">
        <v>413</v>
      </c>
      <c r="B8" s="694"/>
      <c r="C8" s="694"/>
      <c r="D8" s="981">
        <f>'5.Affordable For-Sale Housing '!C37</f>
        <v>0</v>
      </c>
      <c r="E8" s="671">
        <f>'5.Affordable For-Sale Housing '!D37</f>
        <v>0</v>
      </c>
      <c r="F8" s="712">
        <f>'5.Affordable For-Sale Housing '!E37</f>
        <v>959965.97400000016</v>
      </c>
      <c r="G8" s="713">
        <f>'5.Affordable For-Sale Housing '!F37</f>
        <v>741573.71491500002</v>
      </c>
      <c r="H8" s="671">
        <f>'5.Affordable For-Sale Housing '!G37</f>
        <v>763820.92636245</v>
      </c>
      <c r="I8" s="712">
        <f>'5.Affordable For-Sale Housing '!H37</f>
        <v>1311225.9235888724</v>
      </c>
      <c r="J8" s="713">
        <f>'5.Affordable For-Sale Housing '!I37</f>
        <v>1350562.7012965386</v>
      </c>
      <c r="K8" s="712">
        <f>'5.Affordable For-Sale Housing '!J37</f>
        <v>1391079.5823354346</v>
      </c>
      <c r="L8" s="712">
        <f>'5.Affordable For-Sale Housing '!K37</f>
        <v>0</v>
      </c>
      <c r="M8" s="712">
        <f>'5.Affordable For-Sale Housing '!L37</f>
        <v>7378981.6444983128</v>
      </c>
      <c r="N8" s="713">
        <f>'5.Affordable For-Sale Housing '!M37</f>
        <v>7600351.093833264</v>
      </c>
    </row>
    <row r="9" spans="1:14">
      <c r="A9" s="665" t="s">
        <v>68</v>
      </c>
      <c r="B9" s="694"/>
      <c r="C9" s="694"/>
      <c r="D9" s="981">
        <f>'6.Office'!C29</f>
        <v>0</v>
      </c>
      <c r="E9" s="671">
        <f>'6.Office'!D29</f>
        <v>0</v>
      </c>
      <c r="F9" s="712">
        <f>'6.Office'!E29</f>
        <v>0</v>
      </c>
      <c r="G9" s="713">
        <f>'6.Office'!F29</f>
        <v>7431789.7782395594</v>
      </c>
      <c r="H9" s="671">
        <f>'6.Office'!G29</f>
        <v>7654743.4715867471</v>
      </c>
      <c r="I9" s="712">
        <f>'6.Office'!H29</f>
        <v>14340165.313043656</v>
      </c>
      <c r="J9" s="713">
        <f>'6.Office'!I29</f>
        <v>14770370.272434967</v>
      </c>
      <c r="K9" s="712">
        <f>'6.Office'!J29</f>
        <v>15213481.380608018</v>
      </c>
      <c r="L9" s="712">
        <f>'6.Office'!K29</f>
        <v>15669885.822026255</v>
      </c>
      <c r="M9" s="712">
        <f>'6.Office'!L29</f>
        <v>16139982.396687042</v>
      </c>
      <c r="N9" s="713">
        <f>'6.Office'!M29</f>
        <v>16624181.868587654</v>
      </c>
    </row>
    <row r="10" spans="1:14">
      <c r="A10" s="665" t="s">
        <v>420</v>
      </c>
      <c r="B10" s="694"/>
      <c r="C10" s="694"/>
      <c r="D10" s="981">
        <f>'7.Industrial &amp; School'!C38</f>
        <v>0</v>
      </c>
      <c r="E10" s="671">
        <f>'7.Industrial &amp; School'!D38</f>
        <v>0</v>
      </c>
      <c r="F10" s="712">
        <f>'7.Industrial &amp; School'!E38</f>
        <v>0</v>
      </c>
      <c r="G10" s="713">
        <f>'7.Industrial &amp; School'!F38</f>
        <v>251138.4652564837</v>
      </c>
      <c r="H10" s="671">
        <f>'7.Industrial &amp; School'!G38</f>
        <v>258672.61921417818</v>
      </c>
      <c r="I10" s="712">
        <f>'7.Industrial &amp; School'!H38</f>
        <v>266432.79779060348</v>
      </c>
      <c r="J10" s="713">
        <f>'7.Industrial &amp; School'!I38</f>
        <v>-26096.399329435022</v>
      </c>
      <c r="K10" s="712">
        <f>'7.Industrial &amp; School'!J38</f>
        <v>293106.54842577316</v>
      </c>
      <c r="L10" s="712">
        <f>'7.Industrial &amp; School'!K38</f>
        <v>301899.74487854622</v>
      </c>
      <c r="M10" s="712">
        <f>'7.Industrial &amp; School'!L38</f>
        <v>310956.73722490249</v>
      </c>
      <c r="N10" s="713">
        <f>'7.Industrial &amp; School'!M38</f>
        <v>1992420.0905656382</v>
      </c>
    </row>
    <row r="11" spans="1:14">
      <c r="A11" s="665" t="s">
        <v>69</v>
      </c>
      <c r="B11" s="694"/>
      <c r="C11" s="694"/>
      <c r="D11" s="981">
        <f>'8.Market-Rate Retail'!C83</f>
        <v>0</v>
      </c>
      <c r="E11" s="671">
        <f>'8.Market-Rate Retail'!D83</f>
        <v>0</v>
      </c>
      <c r="F11" s="712">
        <f>'8.Market-Rate Retail'!E83</f>
        <v>1055752.9906049999</v>
      </c>
      <c r="G11" s="713">
        <f>'8.Market-Rate Retail'!F83</f>
        <v>2913721.507208745</v>
      </c>
      <c r="H11" s="671">
        <f>'8.Market-Rate Retail'!G83</f>
        <v>3789197.2009022138</v>
      </c>
      <c r="I11" s="712">
        <f>'8.Market-Rate Retail'!H83</f>
        <v>5804591.8748377627</v>
      </c>
      <c r="J11" s="713">
        <f>'8.Market-Rate Retail'!I83</f>
        <v>8155020.1575667392</v>
      </c>
      <c r="K11" s="712">
        <f>'8.Market-Rate Retail'!J83</f>
        <v>9513914.3088204768</v>
      </c>
      <c r="L11" s="712">
        <f>'8.Market-Rate Retail'!K83</f>
        <v>10077318.351949211</v>
      </c>
      <c r="M11" s="712">
        <f>'8.Market-Rate Retail'!L83</f>
        <v>10945995.279221881</v>
      </c>
      <c r="N11" s="713">
        <f>'8.Market-Rate Retail'!M83</f>
        <v>12082977.080114767</v>
      </c>
    </row>
    <row r="12" spans="1:14">
      <c r="A12" s="665" t="s">
        <v>49</v>
      </c>
      <c r="B12" s="694"/>
      <c r="C12" s="694"/>
      <c r="D12" s="981">
        <f>'9.Hotel'!C15</f>
        <v>0</v>
      </c>
      <c r="E12" s="671">
        <f>'9.Hotel'!D15</f>
        <v>0</v>
      </c>
      <c r="F12" s="712">
        <f>'9.Hotel'!E15</f>
        <v>2805306.8586429758</v>
      </c>
      <c r="G12" s="713">
        <f>'9.Hotel'!F15</f>
        <v>7259783.4868106917</v>
      </c>
      <c r="H12" s="671">
        <f>'9.Hotel'!G15</f>
        <v>7477576.9914150108</v>
      </c>
      <c r="I12" s="712">
        <f>'9.Hotel'!H15</f>
        <v>7701904.3011574596</v>
      </c>
      <c r="J12" s="713">
        <f>'9.Hotel'!I15</f>
        <v>7932961.4301921837</v>
      </c>
      <c r="K12" s="712">
        <f>'9.Hotel'!J15</f>
        <v>8170950.2730979528</v>
      </c>
      <c r="L12" s="712">
        <f>'9.Hotel'!K15</f>
        <v>8416078.7812908888</v>
      </c>
      <c r="M12" s="712">
        <f>'9.Hotel'!L15</f>
        <v>8668561.1447296161</v>
      </c>
      <c r="N12" s="713">
        <f>'9.Hotel'!M15</f>
        <v>8928617.9790715035</v>
      </c>
    </row>
    <row r="13" spans="1:14">
      <c r="A13" s="665" t="s">
        <v>392</v>
      </c>
      <c r="B13" s="694"/>
      <c r="C13" s="694"/>
      <c r="D13" s="981">
        <f>'10.Structured Parking'!C88</f>
        <v>0</v>
      </c>
      <c r="E13" s="671">
        <f>'10.Structured Parking'!D88</f>
        <v>0</v>
      </c>
      <c r="F13" s="712">
        <f>'10.Structured Parking'!E88</f>
        <v>12149606.655703124</v>
      </c>
      <c r="G13" s="713">
        <f>'10.Structured Parking'!F88</f>
        <v>12514094.855374219</v>
      </c>
      <c r="H13" s="671">
        <f>'10.Structured Parking'!G88</f>
        <v>12889517.701035442</v>
      </c>
      <c r="I13" s="712">
        <f>'10.Structured Parking'!H88</f>
        <v>35501522.124671057</v>
      </c>
      <c r="J13" s="713">
        <f>'10.Structured Parking'!I88</f>
        <v>39652583.366464317</v>
      </c>
      <c r="K13" s="712">
        <f>'10.Structured Parking'!J88</f>
        <v>40842160.867458232</v>
      </c>
      <c r="L13" s="712">
        <f>'10.Structured Parking'!K88</f>
        <v>42067425.693481989</v>
      </c>
      <c r="M13" s="712">
        <f>'10.Structured Parking'!L88</f>
        <v>43329448.464286439</v>
      </c>
      <c r="N13" s="713">
        <f>'10.Structured Parking'!M88</f>
        <v>57719828.786277607</v>
      </c>
    </row>
    <row r="14" spans="1:14" hidden="1">
      <c r="A14" s="672" t="s">
        <v>51</v>
      </c>
      <c r="B14" s="732"/>
      <c r="C14" s="732"/>
      <c r="D14" s="983">
        <f>'11.Surface Parking'!C65</f>
        <v>0</v>
      </c>
      <c r="E14" s="720">
        <f>'11.Surface Parking'!D65</f>
        <v>0</v>
      </c>
      <c r="F14" s="721">
        <f>'11.Surface Parking'!E65</f>
        <v>0</v>
      </c>
      <c r="G14" s="722">
        <f>'11.Surface Parking'!F65</f>
        <v>0</v>
      </c>
      <c r="H14" s="720">
        <f>'11.Surface Parking'!G65</f>
        <v>0</v>
      </c>
      <c r="I14" s="721">
        <f>'11.Surface Parking'!H65</f>
        <v>0</v>
      </c>
      <c r="J14" s="722">
        <f>'11.Surface Parking'!I65</f>
        <v>0</v>
      </c>
      <c r="K14" s="721">
        <f>'11.Surface Parking'!J65</f>
        <v>0</v>
      </c>
      <c r="L14" s="721">
        <f>'11.Surface Parking'!K65</f>
        <v>0</v>
      </c>
      <c r="M14" s="721">
        <f>'11.Surface Parking'!L65</f>
        <v>0</v>
      </c>
      <c r="N14" s="722">
        <f>'11.Surface Parking'!M65</f>
        <v>0</v>
      </c>
    </row>
    <row r="15" spans="1:14" ht="16.5" thickBot="1">
      <c r="A15" s="658" t="s">
        <v>1</v>
      </c>
      <c r="B15" s="659"/>
      <c r="C15" s="659"/>
      <c r="D15" s="743">
        <f t="shared" ref="D15:M15" si="1">SUM(D5:D14)</f>
        <v>0</v>
      </c>
      <c r="E15" s="660">
        <f t="shared" si="1"/>
        <v>0</v>
      </c>
      <c r="F15" s="744">
        <f t="shared" si="1"/>
        <v>52664666.377833396</v>
      </c>
      <c r="G15" s="745">
        <f t="shared" si="1"/>
        <v>69063718.170802146</v>
      </c>
      <c r="H15" s="660">
        <f t="shared" si="1"/>
        <v>73828876.584987</v>
      </c>
      <c r="I15" s="744">
        <f t="shared" si="1"/>
        <v>99379073.728063852</v>
      </c>
      <c r="J15" s="745">
        <f t="shared" si="1"/>
        <v>114015446.73912707</v>
      </c>
      <c r="K15" s="744">
        <f t="shared" si="1"/>
        <v>128912898.19097564</v>
      </c>
      <c r="L15" s="744">
        <f t="shared" si="1"/>
        <v>111463664.83606255</v>
      </c>
      <c r="M15" s="744">
        <f t="shared" si="1"/>
        <v>188115497.7804161</v>
      </c>
      <c r="N15" s="745">
        <f>SUM(N5:N14)</f>
        <v>209330196.17563128</v>
      </c>
    </row>
    <row r="16" spans="1:14" ht="16.5" thickBot="1">
      <c r="A16" s="28" t="s">
        <v>2</v>
      </c>
      <c r="B16" s="29"/>
      <c r="C16" s="29"/>
      <c r="D16" s="17"/>
      <c r="E16" s="474"/>
      <c r="F16" s="18"/>
      <c r="G16" s="24"/>
      <c r="H16" s="474"/>
      <c r="I16" s="18"/>
      <c r="J16" s="24"/>
      <c r="K16" s="18"/>
      <c r="L16" s="18"/>
      <c r="M16" s="18"/>
      <c r="N16" s="24"/>
    </row>
    <row r="17" spans="1:16">
      <c r="A17" s="665" t="s">
        <v>65</v>
      </c>
      <c r="B17" s="694"/>
      <c r="C17" s="694"/>
      <c r="D17" s="980">
        <f>'2.Market-Rate Rental Housing'!C66</f>
        <v>0</v>
      </c>
      <c r="E17" s="984">
        <f>'2.Market-Rate Rental Housing'!D66</f>
        <v>0</v>
      </c>
      <c r="F17" s="980">
        <f>'2.Market-Rate Rental Housing'!E66</f>
        <v>23922923.799577203</v>
      </c>
      <c r="G17" s="708">
        <f>'2.Market-Rate Rental Housing'!F66</f>
        <v>12320305.75678226</v>
      </c>
      <c r="H17" s="984">
        <f>'2.Market-Rate Rental Housing'!G66</f>
        <v>91738224.304575965</v>
      </c>
      <c r="I17" s="980">
        <f>'2.Market-Rate Rental Housing'!H66</f>
        <v>22589487.543005664</v>
      </c>
      <c r="J17" s="708">
        <f>'2.Market-Rate Rental Housing'!I66</f>
        <v>11633586.084647918</v>
      </c>
      <c r="K17" s="980">
        <f>'2.Market-Rate Rental Housing'!J66</f>
        <v>117395720.83954324</v>
      </c>
      <c r="L17" s="980">
        <f>'2.Market-Rate Rental Housing'!K66</f>
        <v>60458796.232364766</v>
      </c>
      <c r="M17" s="980">
        <f>'2.Market-Rate Rental Housing'!L66</f>
        <v>4558343.6145984745</v>
      </c>
      <c r="N17" s="708">
        <f>'2.Market-Rate Rental Housing'!M66</f>
        <v>0</v>
      </c>
    </row>
    <row r="18" spans="1:16">
      <c r="A18" s="665" t="s">
        <v>66</v>
      </c>
      <c r="B18" s="694"/>
      <c r="C18" s="694"/>
      <c r="D18" s="981">
        <f>'3.Market-Rate For-Sale Housing'!C43</f>
        <v>0</v>
      </c>
      <c r="E18" s="671">
        <f>'3.Market-Rate For-Sale Housing'!D43</f>
        <v>59859269.293312006</v>
      </c>
      <c r="F18" s="712">
        <f>'3.Market-Rate For-Sale Housing'!E43</f>
        <v>0</v>
      </c>
      <c r="G18" s="713">
        <f>'3.Market-Rate For-Sale Housing'!F43</f>
        <v>0</v>
      </c>
      <c r="H18" s="671">
        <f>'3.Market-Rate For-Sale Housing'!G43</f>
        <v>998665.81940036558</v>
      </c>
      <c r="I18" s="712">
        <f>'3.Market-Rate For-Sale Housing'!H43</f>
        <v>30268457.205089871</v>
      </c>
      <c r="J18" s="713">
        <f>'3.Market-Rate For-Sale Housing'!I43</f>
        <v>15323384.318670824</v>
      </c>
      <c r="K18" s="712">
        <f>'3.Market-Rate For-Sale Housing'!J43</f>
        <v>0</v>
      </c>
      <c r="L18" s="712">
        <f>'3.Market-Rate For-Sale Housing'!K43</f>
        <v>60962550.104730189</v>
      </c>
      <c r="M18" s="712">
        <f>'3.Market-Rate For-Sale Housing'!L43</f>
        <v>8137768.8883802239</v>
      </c>
      <c r="N18" s="713">
        <f>'3.Market-Rate For-Sale Housing'!M43</f>
        <v>0</v>
      </c>
    </row>
    <row r="19" spans="1:16">
      <c r="A19" s="665" t="s">
        <v>67</v>
      </c>
      <c r="B19" s="694"/>
      <c r="C19" s="694"/>
      <c r="D19" s="981">
        <f>'4.Affordable Rental Housing'!C46</f>
        <v>0</v>
      </c>
      <c r="E19" s="671">
        <f>'4.Affordable Rental Housing'!D46</f>
        <v>0</v>
      </c>
      <c r="F19" s="712">
        <f>'4.Affordable Rental Housing'!E46</f>
        <v>2552758.798</v>
      </c>
      <c r="G19" s="713">
        <f>'4.Affordable Rental Housing'!F46</f>
        <v>1314670.7809700002</v>
      </c>
      <c r="H19" s="671">
        <f>'4.Affordable Rental Housing'!G46</f>
        <v>5416443.6175964</v>
      </c>
      <c r="I19" s="712">
        <f>'4.Affordable Rental Housing'!H46</f>
        <v>4184202.6945932186</v>
      </c>
      <c r="J19" s="713">
        <f>'4.Affordable Rental Housing'!I46</f>
        <v>0</v>
      </c>
      <c r="K19" s="712">
        <f>'4.Affordable Rental Housing'!J46</f>
        <v>35512165.109551571</v>
      </c>
      <c r="L19" s="712">
        <f>'4.Affordable Rental Housing'!K46</f>
        <v>18288765.031419057</v>
      </c>
      <c r="M19" s="712">
        <f>'4.Affordable Rental Housing'!L46</f>
        <v>4558343.6145984745</v>
      </c>
      <c r="N19" s="713">
        <f>'4.Affordable Rental Housing'!M46</f>
        <v>0</v>
      </c>
    </row>
    <row r="20" spans="1:16">
      <c r="A20" s="665" t="s">
        <v>413</v>
      </c>
      <c r="B20" s="694"/>
      <c r="C20" s="694"/>
      <c r="D20" s="981">
        <f>'5.Affordable For-Sale Housing '!C43</f>
        <v>0</v>
      </c>
      <c r="E20" s="671">
        <f>'5.Affordable For-Sale Housing '!D43</f>
        <v>2478406.6</v>
      </c>
      <c r="F20" s="712">
        <f>'5.Affordable For-Sale Housing '!E43</f>
        <v>0</v>
      </c>
      <c r="G20" s="713">
        <f>'5.Affordable For-Sale Housing '!F43</f>
        <v>0</v>
      </c>
      <c r="H20" s="671">
        <f>'5.Affordable For-Sale Housing '!G43</f>
        <v>0</v>
      </c>
      <c r="I20" s="712">
        <f>'5.Affordable For-Sale Housing '!H43</f>
        <v>2789468.4630621457</v>
      </c>
      <c r="J20" s="713">
        <f>'5.Affordable For-Sale Housing '!I43</f>
        <v>1436576.2584770054</v>
      </c>
      <c r="K20" s="712">
        <f>'5.Affordable For-Sale Housing '!J43</f>
        <v>0</v>
      </c>
      <c r="L20" s="712">
        <f>'5.Affordable For-Sale Housing '!K43</f>
        <v>0</v>
      </c>
      <c r="M20" s="712">
        <f>'5.Affordable For-Sale Housing '!L43</f>
        <v>15697856.651968025</v>
      </c>
      <c r="N20" s="713">
        <f>'5.Affordable For-Sale Housing '!M43</f>
        <v>0</v>
      </c>
    </row>
    <row r="21" spans="1:16">
      <c r="A21" s="665" t="s">
        <v>68</v>
      </c>
      <c r="B21" s="694"/>
      <c r="C21" s="694"/>
      <c r="D21" s="981">
        <f>'6.Office'!C35</f>
        <v>0</v>
      </c>
      <c r="E21" s="671">
        <f>'6.Office'!D35</f>
        <v>62882222.578783982</v>
      </c>
      <c r="F21" s="712">
        <f>'6.Office'!E35</f>
        <v>35968026.475011051</v>
      </c>
      <c r="G21" s="713">
        <f>'6.Office'!F35</f>
        <v>0</v>
      </c>
      <c r="H21" s="671">
        <f>'6.Office'!G35</f>
        <v>0</v>
      </c>
      <c r="I21" s="712">
        <f>'6.Office'!H35</f>
        <v>90132265.430389971</v>
      </c>
      <c r="J21" s="713">
        <f>'6.Office'!I35</f>
        <v>0</v>
      </c>
      <c r="K21" s="712">
        <f>'6.Office'!J35</f>
        <v>0</v>
      </c>
      <c r="L21" s="712">
        <f>'6.Office'!K35</f>
        <v>0</v>
      </c>
      <c r="M21" s="712">
        <f>'6.Office'!L35</f>
        <v>0</v>
      </c>
      <c r="N21" s="713">
        <f>'6.Office'!M35</f>
        <v>0</v>
      </c>
    </row>
    <row r="22" spans="1:16">
      <c r="A22" s="665" t="s">
        <v>440</v>
      </c>
      <c r="B22" s="694"/>
      <c r="C22" s="694"/>
      <c r="D22" s="981">
        <f>'7.Industrial &amp; School'!C44</f>
        <v>0</v>
      </c>
      <c r="E22" s="671">
        <f>'7.Industrial &amp; School'!D44</f>
        <v>0</v>
      </c>
      <c r="F22" s="712">
        <f>'7.Industrial &amp; School'!E44</f>
        <v>6053839.8458615346</v>
      </c>
      <c r="G22" s="713">
        <f>'7.Industrial &amp; School'!F44</f>
        <v>0</v>
      </c>
      <c r="H22" s="671">
        <f>'7.Industrial &amp; School'!G44</f>
        <v>0</v>
      </c>
      <c r="I22" s="712">
        <f>'7.Industrial &amp; School'!H44</f>
        <v>29984785.931905054</v>
      </c>
      <c r="J22" s="713">
        <f>'7.Industrial &amp; School'!I44</f>
        <v>2853692.5298438813</v>
      </c>
      <c r="K22" s="712">
        <f>'7.Industrial &amp; School'!J44</f>
        <v>0</v>
      </c>
      <c r="L22" s="712">
        <f>'7.Industrial &amp; School'!K44</f>
        <v>0</v>
      </c>
      <c r="M22" s="712">
        <f>'7.Industrial &amp; School'!L44</f>
        <v>3716546.6114365761</v>
      </c>
      <c r="N22" s="713">
        <f>'7.Industrial &amp; School'!M44</f>
        <v>0</v>
      </c>
    </row>
    <row r="23" spans="1:16">
      <c r="A23" s="665" t="s">
        <v>69</v>
      </c>
      <c r="B23" s="694"/>
      <c r="C23" s="694"/>
      <c r="D23" s="981">
        <f>'8.Market-Rate Retail'!C91</f>
        <v>0</v>
      </c>
      <c r="E23" s="671">
        <f>'8.Market-Rate Retail'!D91</f>
        <v>0</v>
      </c>
      <c r="F23" s="712">
        <f>'8.Market-Rate Retail'!E91</f>
        <v>16021146.380614201</v>
      </c>
      <c r="G23" s="713">
        <f>'8.Market-Rate Retail'!F91</f>
        <v>15205968.880747743</v>
      </c>
      <c r="H23" s="671">
        <f>'8.Market-Rate Retail'!G91</f>
        <v>7831073.9735850897</v>
      </c>
      <c r="I23" s="712">
        <f>'8.Market-Rate Retail'!H91</f>
        <v>36373652.972059868</v>
      </c>
      <c r="J23" s="713">
        <f>'8.Market-Rate Retail'!I91</f>
        <v>17588121.283287507</v>
      </c>
      <c r="K23" s="712">
        <f>'8.Market-Rate Retail'!J91</f>
        <v>5982753.5800528098</v>
      </c>
      <c r="L23" s="712">
        <f>'8.Market-Rate Retail'!K91</f>
        <v>0</v>
      </c>
      <c r="M23" s="712">
        <f>'8.Market-Rate Retail'!L91</f>
        <v>10832562.172034679</v>
      </c>
      <c r="N23" s="713">
        <f>'8.Market-Rate Retail'!M91</f>
        <v>8307309.470818527</v>
      </c>
    </row>
    <row r="24" spans="1:16">
      <c r="A24" s="665" t="s">
        <v>49</v>
      </c>
      <c r="B24" s="694"/>
      <c r="C24" s="694"/>
      <c r="D24" s="981">
        <f>'9.Hotel'!C21</f>
        <v>0</v>
      </c>
      <c r="E24" s="671">
        <f>'9.Hotel'!D21</f>
        <v>59088373.124794312</v>
      </c>
      <c r="F24" s="712">
        <f>'9.Hotel'!E21</f>
        <v>30430512.159269076</v>
      </c>
      <c r="G24" s="713">
        <f>'9.Hotel'!F21</f>
        <v>0</v>
      </c>
      <c r="H24" s="671">
        <f>'9.Hotel'!G21</f>
        <v>0</v>
      </c>
      <c r="I24" s="712">
        <f>'9.Hotel'!H21</f>
        <v>0</v>
      </c>
      <c r="J24" s="713">
        <f>'9.Hotel'!I21</f>
        <v>0</v>
      </c>
      <c r="K24" s="712">
        <f>'9.Hotel'!J21</f>
        <v>0</v>
      </c>
      <c r="L24" s="712">
        <f>'9.Hotel'!K21</f>
        <v>0</v>
      </c>
      <c r="M24" s="712">
        <f>'9.Hotel'!L21</f>
        <v>0</v>
      </c>
      <c r="N24" s="713">
        <f>'9.Hotel'!M21</f>
        <v>0</v>
      </c>
    </row>
    <row r="25" spans="1:16">
      <c r="A25" s="665" t="s">
        <v>50</v>
      </c>
      <c r="B25" s="694"/>
      <c r="C25" s="694"/>
      <c r="D25" s="981">
        <f>'10.Structured Parking'!C94</f>
        <v>0</v>
      </c>
      <c r="E25" s="671">
        <f>'10.Structured Parking'!D94</f>
        <v>8330067.6609300002</v>
      </c>
      <c r="F25" s="712">
        <f>'10.Structured Parking'!E94</f>
        <v>7067906.9015083499</v>
      </c>
      <c r="G25" s="713">
        <f>'10.Structured Parking'!F94</f>
        <v>0</v>
      </c>
      <c r="H25" s="671">
        <f>'10.Structured Parking'!G94</f>
        <v>27790986.985038288</v>
      </c>
      <c r="I25" s="712">
        <f>'10.Structured Parking'!H94</f>
        <v>9386735.8547486719</v>
      </c>
      <c r="J25" s="713">
        <f>'10.Structured Parking'!I94</f>
        <v>0</v>
      </c>
      <c r="K25" s="712">
        <f>'10.Structured Parking'!J94</f>
        <v>0</v>
      </c>
      <c r="L25" s="712">
        <f>'10.Structured Parking'!K94</f>
        <v>10594576.889220912</v>
      </c>
      <c r="M25" s="712">
        <f>'10.Structured Parking'!L94</f>
        <v>5456207.09794877</v>
      </c>
      <c r="N25" s="713">
        <f>'10.Structured Parking'!M94</f>
        <v>0</v>
      </c>
    </row>
    <row r="26" spans="1:16" hidden="1">
      <c r="A26" s="665" t="s">
        <v>51</v>
      </c>
      <c r="B26" s="694"/>
      <c r="C26" s="694"/>
      <c r="D26" s="981">
        <f>'11.Surface Parking'!C71</f>
        <v>0</v>
      </c>
      <c r="E26" s="671">
        <f>'11.Surface Parking'!D71</f>
        <v>0</v>
      </c>
      <c r="F26" s="712">
        <f>'11.Surface Parking'!E71</f>
        <v>0</v>
      </c>
      <c r="G26" s="713">
        <f>'11.Surface Parking'!F71</f>
        <v>0</v>
      </c>
      <c r="H26" s="671">
        <f>'11.Surface Parking'!G71</f>
        <v>0</v>
      </c>
      <c r="I26" s="712">
        <f>'11.Surface Parking'!H71</f>
        <v>0</v>
      </c>
      <c r="J26" s="713">
        <f>'11.Surface Parking'!I71</f>
        <v>0</v>
      </c>
      <c r="K26" s="712">
        <f>'11.Surface Parking'!J71</f>
        <v>0</v>
      </c>
      <c r="L26" s="712">
        <f>'11.Surface Parking'!K71</f>
        <v>0</v>
      </c>
      <c r="M26" s="712">
        <f>'11.Surface Parking'!L71</f>
        <v>0</v>
      </c>
      <c r="N26" s="713">
        <f>'11.Surface Parking'!M71</f>
        <v>0</v>
      </c>
    </row>
    <row r="27" spans="1:16">
      <c r="A27" s="665" t="s">
        <v>70</v>
      </c>
      <c r="B27" s="694"/>
      <c r="C27" s="694"/>
      <c r="D27" s="981">
        <f>'Land Acquisition'!J5+'Land Values'!D12+'Land Values'!D16</f>
        <v>161175000</v>
      </c>
      <c r="E27" s="671">
        <f>'Land Acquisition'!J6</f>
        <v>51473913.050964192</v>
      </c>
      <c r="F27" s="712">
        <v>0</v>
      </c>
      <c r="G27" s="713">
        <f t="shared" ref="G27:N29" si="2">F27</f>
        <v>0</v>
      </c>
      <c r="H27" s="671">
        <f t="shared" si="2"/>
        <v>0</v>
      </c>
      <c r="I27" s="712">
        <f t="shared" si="2"/>
        <v>0</v>
      </c>
      <c r="J27" s="713">
        <f t="shared" si="2"/>
        <v>0</v>
      </c>
      <c r="K27" s="712">
        <f t="shared" si="2"/>
        <v>0</v>
      </c>
      <c r="L27" s="712">
        <f t="shared" si="2"/>
        <v>0</v>
      </c>
      <c r="M27" s="712">
        <f t="shared" si="2"/>
        <v>0</v>
      </c>
      <c r="N27" s="713">
        <f t="shared" si="2"/>
        <v>0</v>
      </c>
    </row>
    <row r="28" spans="1:16">
      <c r="A28" s="665" t="s">
        <v>9</v>
      </c>
      <c r="B28" s="694"/>
      <c r="C28" s="694"/>
      <c r="D28" s="981">
        <f>'1.Infrastructure Costs'!D18</f>
        <v>0</v>
      </c>
      <c r="E28" s="671">
        <f>'1.Infrastructure Costs'!E18</f>
        <v>6705334.333333333</v>
      </c>
      <c r="F28" s="712">
        <f>'1.Infrastructure Costs'!F18</f>
        <v>7930563.4516666662</v>
      </c>
      <c r="G28" s="713">
        <f>'1.Infrastructure Costs'!G18</f>
        <v>2102297.4753</v>
      </c>
      <c r="H28" s="671">
        <f>'1.Infrastructure Costs'!H18</f>
        <v>5039344.104436785</v>
      </c>
      <c r="I28" s="712">
        <f>'1.Infrastructure Costs'!I18</f>
        <v>0</v>
      </c>
      <c r="J28" s="713">
        <f>'1.Infrastructure Costs'!J18</f>
        <v>0</v>
      </c>
      <c r="K28" s="712">
        <f>'1.Infrastructure Costs'!K18</f>
        <v>0</v>
      </c>
      <c r="L28" s="712">
        <f>'1.Infrastructure Costs'!L18</f>
        <v>0</v>
      </c>
      <c r="M28" s="712">
        <f>'1.Infrastructure Costs'!M18</f>
        <v>795911.64213583909</v>
      </c>
      <c r="N28" s="713">
        <f>'1.Infrastructure Costs'!N18</f>
        <v>0</v>
      </c>
    </row>
    <row r="29" spans="1:16">
      <c r="A29" s="672" t="s">
        <v>237</v>
      </c>
      <c r="B29" s="732"/>
      <c r="C29" s="732"/>
      <c r="D29" s="983">
        <f>'Land Acquisition'!F16</f>
        <v>1688983.75</v>
      </c>
      <c r="E29" s="720">
        <v>0</v>
      </c>
      <c r="F29" s="721">
        <f>E29</f>
        <v>0</v>
      </c>
      <c r="G29" s="722">
        <f t="shared" si="2"/>
        <v>0</v>
      </c>
      <c r="H29" s="720">
        <f t="shared" si="2"/>
        <v>0</v>
      </c>
      <c r="I29" s="721">
        <f t="shared" si="2"/>
        <v>0</v>
      </c>
      <c r="J29" s="722">
        <f t="shared" si="2"/>
        <v>0</v>
      </c>
      <c r="K29" s="721">
        <f t="shared" si="2"/>
        <v>0</v>
      </c>
      <c r="L29" s="721">
        <f t="shared" si="2"/>
        <v>0</v>
      </c>
      <c r="M29" s="721">
        <f t="shared" si="2"/>
        <v>0</v>
      </c>
      <c r="N29" s="722">
        <f t="shared" si="2"/>
        <v>0</v>
      </c>
    </row>
    <row r="30" spans="1:16">
      <c r="A30" s="665" t="s">
        <v>423</v>
      </c>
      <c r="B30" s="694"/>
      <c r="C30" s="694"/>
      <c r="D30" s="981">
        <f>F83</f>
        <v>6570000</v>
      </c>
      <c r="E30" s="671"/>
      <c r="F30" s="712"/>
      <c r="G30" s="713"/>
      <c r="H30" s="671"/>
      <c r="I30" s="712"/>
      <c r="J30" s="713"/>
      <c r="K30" s="712"/>
      <c r="L30" s="712"/>
      <c r="M30" s="712"/>
      <c r="N30" s="713"/>
    </row>
    <row r="31" spans="1:16" ht="16.5" thickBot="1">
      <c r="A31" s="658" t="s">
        <v>3</v>
      </c>
      <c r="B31" s="659"/>
      <c r="C31" s="649"/>
      <c r="D31" s="725">
        <f>SUM(D17:D30)</f>
        <v>169433983.75</v>
      </c>
      <c r="E31" s="660">
        <f t="shared" ref="E31:N31" si="3">SUM(E17:E29)</f>
        <v>250817586.64211783</v>
      </c>
      <c r="F31" s="744">
        <f t="shared" si="3"/>
        <v>129947677.81150809</v>
      </c>
      <c r="G31" s="745">
        <f t="shared" si="3"/>
        <v>30943242.893800002</v>
      </c>
      <c r="H31" s="660">
        <f t="shared" si="3"/>
        <v>138814738.8046329</v>
      </c>
      <c r="I31" s="744">
        <f t="shared" si="3"/>
        <v>225709056.09485447</v>
      </c>
      <c r="J31" s="745">
        <f t="shared" si="3"/>
        <v>48835360.474927135</v>
      </c>
      <c r="K31" s="734">
        <f t="shared" si="3"/>
        <v>158890639.52914762</v>
      </c>
      <c r="L31" s="734">
        <f t="shared" si="3"/>
        <v>150304688.25773495</v>
      </c>
      <c r="M31" s="734">
        <f t="shared" si="3"/>
        <v>53753540.293101057</v>
      </c>
      <c r="N31" s="735">
        <f t="shared" si="3"/>
        <v>8307309.470818527</v>
      </c>
    </row>
    <row r="32" spans="1:16" ht="16.5" thickBot="1">
      <c r="A32" s="28" t="s">
        <v>4</v>
      </c>
      <c r="B32" s="29"/>
      <c r="C32" s="29"/>
      <c r="D32" s="577"/>
      <c r="E32" s="474"/>
      <c r="F32" s="18"/>
      <c r="G32" s="24"/>
      <c r="H32" s="474"/>
      <c r="I32" s="18"/>
      <c r="J32" s="24"/>
      <c r="K32" s="474"/>
      <c r="L32" s="18"/>
      <c r="M32" s="18"/>
      <c r="N32" s="24"/>
      <c r="P32" s="550"/>
    </row>
    <row r="33" spans="1:14">
      <c r="A33" s="706" t="s">
        <v>5</v>
      </c>
      <c r="B33" s="707"/>
      <c r="C33" s="650"/>
      <c r="D33" s="708">
        <f>D15</f>
        <v>0</v>
      </c>
      <c r="E33" s="670">
        <f t="shared" ref="E33:N33" si="4">E15</f>
        <v>0</v>
      </c>
      <c r="F33" s="709">
        <f t="shared" si="4"/>
        <v>52664666.377833396</v>
      </c>
      <c r="G33" s="710">
        <f t="shared" si="4"/>
        <v>69063718.170802146</v>
      </c>
      <c r="H33" s="670">
        <f t="shared" si="4"/>
        <v>73828876.584987</v>
      </c>
      <c r="I33" s="709">
        <f t="shared" si="4"/>
        <v>99379073.728063852</v>
      </c>
      <c r="J33" s="710">
        <f t="shared" si="4"/>
        <v>114015446.73912707</v>
      </c>
      <c r="K33" s="670">
        <f t="shared" si="4"/>
        <v>128912898.19097564</v>
      </c>
      <c r="L33" s="709">
        <f t="shared" si="4"/>
        <v>111463664.83606255</v>
      </c>
      <c r="M33" s="709">
        <f t="shared" si="4"/>
        <v>188115497.7804161</v>
      </c>
      <c r="N33" s="710">
        <f t="shared" si="4"/>
        <v>209330196.17563128</v>
      </c>
    </row>
    <row r="34" spans="1:14" ht="15.75">
      <c r="A34" s="665" t="s">
        <v>59</v>
      </c>
      <c r="B34" s="675" t="s">
        <v>274</v>
      </c>
      <c r="C34" s="974">
        <f>N33/N34</f>
        <v>0.11553444590315964</v>
      </c>
      <c r="D34" s="711"/>
      <c r="F34" s="1066">
        <f>D115*1.15</f>
        <v>16301249.999999998</v>
      </c>
      <c r="H34" s="671"/>
      <c r="I34" s="712"/>
      <c r="J34" s="713"/>
      <c r="K34" s="671"/>
      <c r="L34" s="714"/>
      <c r="M34" s="715"/>
      <c r="N34" s="713">
        <f>SUM('2.Market-Rate Rental Housing'!M69+'4.Affordable Rental Housing'!M49+'6.Office'!M38+'7.Industrial &amp; School'!M47+'8.Market-Rate Retail'!M94+'9.Hotel'!M24+'10.Structured Parking'!M97+'11.Surface Parking'!M74)</f>
        <v>1811842299.8374939</v>
      </c>
    </row>
    <row r="35" spans="1:14">
      <c r="A35" s="665" t="s">
        <v>29</v>
      </c>
      <c r="B35" s="650"/>
      <c r="C35" s="985">
        <v>0.03</v>
      </c>
      <c r="D35" s="711"/>
      <c r="E35" s="671">
        <f>-F34*C35</f>
        <v>-489037.49999999994</v>
      </c>
      <c r="F35" s="712"/>
      <c r="G35" s="713"/>
      <c r="H35" s="671"/>
      <c r="I35" s="712"/>
      <c r="J35" s="713"/>
      <c r="K35" s="671"/>
      <c r="L35" s="712"/>
      <c r="M35" s="712"/>
      <c r="N35" s="713">
        <f>N34*-C35</f>
        <v>-54355268.995124817</v>
      </c>
    </row>
    <row r="36" spans="1:14">
      <c r="A36" s="672" t="s">
        <v>238</v>
      </c>
      <c r="B36" s="657"/>
      <c r="C36" s="657"/>
      <c r="D36" s="719">
        <f>-D31</f>
        <v>-169433983.75</v>
      </c>
      <c r="E36" s="720">
        <f t="shared" ref="E36:N36" si="5">-E31</f>
        <v>-250817586.64211783</v>
      </c>
      <c r="F36" s="721">
        <f t="shared" si="5"/>
        <v>-129947677.81150809</v>
      </c>
      <c r="G36" s="722">
        <f t="shared" si="5"/>
        <v>-30943242.893800002</v>
      </c>
      <c r="H36" s="720">
        <f t="shared" si="5"/>
        <v>-138814738.8046329</v>
      </c>
      <c r="I36" s="721">
        <f t="shared" si="5"/>
        <v>-225709056.09485447</v>
      </c>
      <c r="J36" s="722">
        <f t="shared" si="5"/>
        <v>-48835360.474927135</v>
      </c>
      <c r="K36" s="720">
        <f t="shared" si="5"/>
        <v>-158890639.52914762</v>
      </c>
      <c r="L36" s="721">
        <f t="shared" si="5"/>
        <v>-150304688.25773495</v>
      </c>
      <c r="M36" s="721">
        <f t="shared" si="5"/>
        <v>-53753540.293101057</v>
      </c>
      <c r="N36" s="722">
        <f t="shared" si="5"/>
        <v>-8307309.470818527</v>
      </c>
    </row>
    <row r="37" spans="1:14" ht="15.75">
      <c r="A37" s="665" t="s">
        <v>309</v>
      </c>
      <c r="B37" s="675"/>
      <c r="C37" s="675"/>
      <c r="D37" s="711">
        <f>-Financing!B19</f>
        <v>0</v>
      </c>
      <c r="E37" s="671">
        <f>-Financing!C19</f>
        <v>-1393279.9700863839</v>
      </c>
      <c r="F37" s="712">
        <f>-Financing!D19</f>
        <v>-9190140.6387768686</v>
      </c>
      <c r="G37" s="713">
        <f>-Financing!E19</f>
        <v>-11046735.212404868</v>
      </c>
      <c r="H37" s="671">
        <f>-Financing!F19</f>
        <v>-19375619.540682841</v>
      </c>
      <c r="I37" s="712">
        <f>-Financing!G19</f>
        <v>-32918162.906374112</v>
      </c>
      <c r="J37" s="713">
        <f>-Financing!H19</f>
        <v>-35848284.534869738</v>
      </c>
      <c r="K37" s="671">
        <f>-Financing!I19</f>
        <v>-45381722.906618595</v>
      </c>
      <c r="L37" s="712">
        <f>-Financing!J19</f>
        <v>-54400004.202082701</v>
      </c>
      <c r="M37" s="712">
        <f>-Financing!K19</f>
        <v>-57625216.619668759</v>
      </c>
      <c r="N37" s="713">
        <f>-Financing!L19</f>
        <v>-58123655.187917873</v>
      </c>
    </row>
    <row r="38" spans="1:14" ht="16.5" thickBot="1">
      <c r="A38" s="1067" t="s">
        <v>6</v>
      </c>
      <c r="B38" s="1068"/>
      <c r="C38" s="1068"/>
      <c r="D38" s="1069">
        <f>SUM(D33:D36)</f>
        <v>-169433983.75</v>
      </c>
      <c r="E38" s="1069">
        <f t="shared" ref="E38:N38" si="6">SUM(E33:E36)</f>
        <v>-251306624.14211783</v>
      </c>
      <c r="F38" s="1069">
        <f t="shared" si="6"/>
        <v>-60981761.433674693</v>
      </c>
      <c r="G38" s="1069">
        <f t="shared" si="6"/>
        <v>38120475.277002141</v>
      </c>
      <c r="H38" s="1069">
        <f t="shared" si="6"/>
        <v>-64985862.219645903</v>
      </c>
      <c r="I38" s="1069">
        <f t="shared" si="6"/>
        <v>-126329982.36679062</v>
      </c>
      <c r="J38" s="1069">
        <f t="shared" si="6"/>
        <v>65180086.264199935</v>
      </c>
      <c r="K38" s="1069">
        <f t="shared" si="6"/>
        <v>-29977741.338171989</v>
      </c>
      <c r="L38" s="1069">
        <f t="shared" si="6"/>
        <v>-38841023.421672404</v>
      </c>
      <c r="M38" s="1069">
        <f t="shared" si="6"/>
        <v>134361957.48731506</v>
      </c>
      <c r="N38" s="1069">
        <f t="shared" si="6"/>
        <v>1958509917.5471818</v>
      </c>
    </row>
    <row r="39" spans="1:14" ht="16.5" thickBot="1">
      <c r="A39" s="976" t="s">
        <v>449</v>
      </c>
      <c r="B39" s="675"/>
      <c r="C39" s="675"/>
      <c r="D39" s="981">
        <f>Financing!B34</f>
        <v>-169433983.75</v>
      </c>
      <c r="E39" s="712">
        <f>Financing!C34</f>
        <v>-229478571.27743119</v>
      </c>
      <c r="F39" s="712">
        <f>Financing!D34</f>
        <v>59775775.739056528</v>
      </c>
      <c r="G39" s="712">
        <f>Financing!E34</f>
        <v>58016982.958397277</v>
      </c>
      <c r="H39" s="712">
        <f>Financing!F34</f>
        <v>54453257.044304162</v>
      </c>
      <c r="I39" s="712">
        <f>Financing!G34</f>
        <v>66460910.82168974</v>
      </c>
      <c r="J39" s="712">
        <f>Financing!H34</f>
        <v>78167162.204257339</v>
      </c>
      <c r="K39" s="712">
        <f>Financing!I34</f>
        <v>83531175.284357041</v>
      </c>
      <c r="L39" s="712">
        <f>Financing!J34</f>
        <v>57063660.63397985</v>
      </c>
      <c r="M39" s="712">
        <f>Financing!K34</f>
        <v>130490281.16074735</v>
      </c>
      <c r="N39" s="712">
        <f>Financing!L34</f>
        <v>939965985.36478448</v>
      </c>
    </row>
    <row r="40" spans="1:14" ht="15.75">
      <c r="A40" s="746"/>
      <c r="B40" s="747"/>
      <c r="C40" s="747"/>
      <c r="D40" s="748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25" t="s">
        <v>239</v>
      </c>
      <c r="B41" s="25"/>
      <c r="C41" s="553">
        <f>D38+NPV(0.09,E38:N38)</f>
        <v>342107546.42381984</v>
      </c>
      <c r="D41" s="9"/>
      <c r="E41" s="11"/>
      <c r="F41" s="11"/>
      <c r="G41" s="11"/>
      <c r="H41" s="10"/>
      <c r="I41" s="11"/>
      <c r="J41" s="11"/>
      <c r="K41" s="11"/>
      <c r="L41" s="11"/>
      <c r="M41" s="11"/>
      <c r="N41" s="11"/>
    </row>
    <row r="42" spans="1:14" ht="16.5" thickBot="1">
      <c r="A42" s="749" t="s">
        <v>71</v>
      </c>
      <c r="B42" s="25"/>
      <c r="C42" s="823">
        <f>M77/N34</f>
        <v>0.48996680654510616</v>
      </c>
      <c r="D42" s="9"/>
      <c r="E42" s="11"/>
      <c r="F42" s="11"/>
      <c r="G42" s="11"/>
      <c r="H42" s="26"/>
      <c r="I42" s="11"/>
      <c r="J42" s="11"/>
      <c r="K42" s="11"/>
      <c r="L42" s="11"/>
      <c r="M42" s="11"/>
      <c r="N42" s="11"/>
    </row>
    <row r="43" spans="1:14" ht="15.75">
      <c r="A43" s="25" t="s">
        <v>72</v>
      </c>
      <c r="B43" s="25"/>
      <c r="C43" s="823">
        <f>IRR(D38:N38,0)</f>
        <v>0.15461791446302708</v>
      </c>
      <c r="D43" s="9"/>
      <c r="E43" s="11"/>
      <c r="F43" s="11"/>
      <c r="G43" s="31" t="s">
        <v>73</v>
      </c>
      <c r="H43" s="32"/>
      <c r="I43" s="32"/>
      <c r="J43" s="551">
        <f>D27</f>
        <v>161175000</v>
      </c>
      <c r="K43" s="11"/>
      <c r="L43" s="11"/>
      <c r="M43" s="11"/>
      <c r="N43" s="11"/>
    </row>
    <row r="44" spans="1:14" ht="16.5" thickBot="1">
      <c r="A44" s="25" t="s">
        <v>273</v>
      </c>
      <c r="B44" s="25"/>
      <c r="C44" s="823">
        <f>Financing!$B$36</f>
        <v>0.20367542197373001</v>
      </c>
      <c r="D44" s="751" t="s">
        <v>272</v>
      </c>
      <c r="E44" s="11"/>
      <c r="F44" s="11"/>
      <c r="G44" s="496" t="s">
        <v>74</v>
      </c>
      <c r="H44" s="20"/>
      <c r="I44" s="20"/>
      <c r="J44" s="552">
        <f>N34</f>
        <v>1811842299.8374939</v>
      </c>
      <c r="K44" s="11"/>
      <c r="L44" s="11"/>
      <c r="M44" s="11"/>
      <c r="N44" s="11"/>
    </row>
    <row r="45" spans="1:14" s="10" customFormat="1" ht="16.5" thickBot="1">
      <c r="A45" s="750"/>
      <c r="B45" s="30"/>
      <c r="C45" s="30"/>
      <c r="D45" s="19"/>
      <c r="E45" s="20"/>
      <c r="F45" s="20"/>
      <c r="G45" s="555"/>
      <c r="H45" s="20"/>
      <c r="I45" s="20"/>
      <c r="J45" s="20"/>
      <c r="K45" s="20"/>
      <c r="L45" s="20"/>
      <c r="M45" s="20"/>
      <c r="N45" s="20"/>
    </row>
    <row r="46" spans="1:14" ht="16.5" thickBot="1">
      <c r="A46" s="990" t="s">
        <v>75</v>
      </c>
      <c r="B46" s="991"/>
      <c r="C46" s="991"/>
      <c r="D46" s="991"/>
      <c r="E46" s="991"/>
      <c r="F46" s="991"/>
      <c r="G46" s="991"/>
      <c r="H46" s="991"/>
      <c r="I46" s="991"/>
      <c r="J46" s="991"/>
      <c r="K46" s="991"/>
      <c r="L46" s="991"/>
      <c r="M46" s="991"/>
      <c r="N46" s="979"/>
    </row>
    <row r="47" spans="1:14" ht="16.5" thickBot="1">
      <c r="A47" s="33"/>
      <c r="B47" s="16"/>
      <c r="C47" s="16"/>
      <c r="D47" s="8" t="s">
        <v>58</v>
      </c>
      <c r="E47" s="381" t="s">
        <v>37</v>
      </c>
      <c r="F47" s="386"/>
      <c r="G47" s="383"/>
      <c r="H47" s="381" t="s">
        <v>80</v>
      </c>
      <c r="I47" s="384"/>
      <c r="J47" s="383"/>
      <c r="K47" s="385" t="s">
        <v>81</v>
      </c>
      <c r="L47" s="385"/>
      <c r="M47" s="386"/>
      <c r="N47" s="383"/>
    </row>
    <row r="48" spans="1:14" s="12" customFormat="1" ht="16.5" thickBot="1">
      <c r="A48" s="4"/>
      <c r="B48" s="5"/>
      <c r="C48" s="6" t="s">
        <v>30</v>
      </c>
      <c r="D48" s="6" t="s">
        <v>311</v>
      </c>
      <c r="E48" s="34">
        <v>2019</v>
      </c>
      <c r="F48" s="6">
        <f t="shared" ref="F48:N48" si="7">E48+1</f>
        <v>2020</v>
      </c>
      <c r="G48" s="7">
        <f t="shared" si="7"/>
        <v>2021</v>
      </c>
      <c r="H48" s="34">
        <f t="shared" si="7"/>
        <v>2022</v>
      </c>
      <c r="I48" s="6">
        <f t="shared" si="7"/>
        <v>2023</v>
      </c>
      <c r="J48" s="7">
        <f t="shared" si="7"/>
        <v>2024</v>
      </c>
      <c r="K48" s="6">
        <f t="shared" si="7"/>
        <v>2025</v>
      </c>
      <c r="L48" s="6">
        <f t="shared" si="7"/>
        <v>2026</v>
      </c>
      <c r="M48" s="6">
        <f t="shared" si="7"/>
        <v>2027</v>
      </c>
      <c r="N48" s="7">
        <f t="shared" si="7"/>
        <v>2028</v>
      </c>
    </row>
    <row r="49" spans="1:14" ht="16.5" thickBot="1">
      <c r="A49" s="23" t="s">
        <v>409</v>
      </c>
      <c r="B49" s="23"/>
      <c r="C49" s="23"/>
      <c r="D49" s="35"/>
      <c r="E49" s="474"/>
      <c r="F49" s="18"/>
      <c r="G49" s="24"/>
      <c r="H49" s="474"/>
      <c r="I49" s="18"/>
      <c r="J49" s="24"/>
      <c r="K49" s="18"/>
      <c r="L49" s="18"/>
      <c r="M49" s="18"/>
      <c r="N49" s="24"/>
    </row>
    <row r="50" spans="1:14">
      <c r="A50" s="665" t="s">
        <v>65</v>
      </c>
      <c r="B50" s="694"/>
      <c r="C50" s="992">
        <f>SUM('2.Market-Rate Rental Housing'!C78:C82)</f>
        <v>1210.3436999999999</v>
      </c>
      <c r="D50" s="703">
        <f>SUM('2.Market-Rate Rental Housing'!C9,'2.Market-Rate Rental Housing'!C19,'2.Market-Rate Rental Housing'!C29,'2.Market-Rate Rental Housing'!C39,'2.Market-Rate Rental Housing'!C49)</f>
        <v>0</v>
      </c>
      <c r="E50" s="993">
        <f>SUM('2.Market-Rate Rental Housing'!D9,'2.Market-Rate Rental Housing'!D19,'2.Market-Rate Rental Housing'!D29,'2.Market-Rate Rental Housing'!D39,'2.Market-Rate Rental Housing'!D49)</f>
        <v>0</v>
      </c>
      <c r="F50" s="994">
        <f>SUM('2.Market-Rate Rental Housing'!E9,'2.Market-Rate Rental Housing'!E19,'2.Market-Rate Rental Housing'!E29,'2.Market-Rate Rental Housing'!E39,'2.Market-Rate Rental Housing'!E49)</f>
        <v>94</v>
      </c>
      <c r="G50" s="995">
        <f>SUM('2.Market-Rate Rental Housing'!F9,'2.Market-Rate Rental Housing'!F19,'2.Market-Rate Rental Housing'!F29,'2.Market-Rate Rental Housing'!F39,'2.Market-Rate Rental Housing'!F49)</f>
        <v>47</v>
      </c>
      <c r="H50" s="993">
        <f>SUM('2.Market-Rate Rental Housing'!G9,'2.Market-Rate Rental Housing'!G19,'2.Market-Rate Rental Housing'!G29,'2.Market-Rate Rental Housing'!G39,'2.Market-Rate Rental Housing'!G49)</f>
        <v>339</v>
      </c>
      <c r="I50" s="994">
        <f>SUM('2.Market-Rate Rental Housing'!H9,'2.Market-Rate Rental Housing'!H19,'2.Market-Rate Rental Housing'!H29,'2.Market-Rate Rental Housing'!H39,'2.Market-Rate Rental Housing'!H49)</f>
        <v>81</v>
      </c>
      <c r="J50" s="995">
        <f>SUM('2.Market-Rate Rental Housing'!I9,'2.Market-Rate Rental Housing'!I19,'2.Market-Rate Rental Housing'!I29,'2.Market-Rate Rental Housing'!I39,'2.Market-Rate Rental Housing'!I49)</f>
        <v>40</v>
      </c>
      <c r="K50" s="703">
        <f>SUM('2.Market-Rate Rental Housing'!J9,'2.Market-Rate Rental Housing'!J19,'2.Market-Rate Rental Housing'!J29,'2.Market-Rate Rental Housing'!J39,'2.Market-Rate Rental Housing'!J49)</f>
        <v>397</v>
      </c>
      <c r="L50" s="703">
        <f>SUM('2.Market-Rate Rental Housing'!K9,'2.Market-Rate Rental Housing'!K19,'2.Market-Rate Rental Housing'!K29,'2.Market-Rate Rental Housing'!K39,'2.Market-Rate Rental Housing'!K49)</f>
        <v>198</v>
      </c>
      <c r="M50" s="703">
        <f>SUM('2.Market-Rate Rental Housing'!L9,'2.Market-Rate Rental Housing'!L19,'2.Market-Rate Rental Housing'!L29,'2.Market-Rate Rental Housing'!L39,'2.Market-Rate Rental Housing'!L49)</f>
        <v>15</v>
      </c>
      <c r="N50" s="705">
        <f>SUM('2.Market-Rate Rental Housing'!M9,'2.Market-Rate Rental Housing'!M19,'2.Market-Rate Rental Housing'!M29,'2.Market-Rate Rental Housing'!M39,'2.Market-Rate Rental Housing'!M49)</f>
        <v>0</v>
      </c>
    </row>
    <row r="51" spans="1:14">
      <c r="A51" s="665" t="s">
        <v>66</v>
      </c>
      <c r="B51" s="694"/>
      <c r="C51" s="992">
        <f>SUM('3.Market-Rate For-Sale Housing'!C53:C55)</f>
        <v>632.97349999999994</v>
      </c>
      <c r="D51" s="996">
        <f>SUM('3.Market-Rate For-Sale Housing'!C18,'3.Market-Rate For-Sale Housing'!C27,'3.Market-Rate For-Sale Housing'!C9)</f>
        <v>0</v>
      </c>
      <c r="E51" s="997">
        <f>SUM('3.Market-Rate For-Sale Housing'!D18,'3.Market-Rate For-Sale Housing'!D27,'3.Market-Rate For-Sale Housing'!D9)</f>
        <v>242</v>
      </c>
      <c r="F51" s="998">
        <f>SUM('3.Market-Rate For-Sale Housing'!E18,'3.Market-Rate For-Sale Housing'!E27,'3.Market-Rate For-Sale Housing'!E9)</f>
        <v>0</v>
      </c>
      <c r="G51" s="999">
        <f>SUM('3.Market-Rate For-Sale Housing'!F18,'3.Market-Rate For-Sale Housing'!F27,'3.Market-Rate For-Sale Housing'!F9)</f>
        <v>0</v>
      </c>
      <c r="H51" s="1000">
        <f>SUM('3.Market-Rate For-Sale Housing'!G18,'3.Market-Rate For-Sale Housing'!G27,'3.Market-Rate For-Sale Housing'!G9)</f>
        <v>4</v>
      </c>
      <c r="I51" s="998">
        <f>SUM('3.Market-Rate For-Sale Housing'!H18,'3.Market-Rate For-Sale Housing'!H27,'3.Market-Rate For-Sale Housing'!H9)</f>
        <v>109</v>
      </c>
      <c r="J51" s="999">
        <f>SUM('3.Market-Rate For-Sale Housing'!I18,'3.Market-Rate For-Sale Housing'!I27,'3.Market-Rate For-Sale Housing'!I9)</f>
        <v>53</v>
      </c>
      <c r="K51" s="998">
        <f>SUM('3.Market-Rate For-Sale Housing'!J18,'3.Market-Rate For-Sale Housing'!J27,'3.Market-Rate For-Sale Housing'!J9)</f>
        <v>0</v>
      </c>
      <c r="L51" s="998">
        <f>SUM('3.Market-Rate For-Sale Housing'!K18,'3.Market-Rate For-Sale Housing'!K27,'3.Market-Rate For-Sale Housing'!K9)</f>
        <v>200</v>
      </c>
      <c r="M51" s="998">
        <f>SUM('3.Market-Rate For-Sale Housing'!L18,'3.Market-Rate For-Sale Housing'!L27,'3.Market-Rate For-Sale Housing'!L9)</f>
        <v>26</v>
      </c>
      <c r="N51" s="999">
        <f>SUM('3.Market-Rate For-Sale Housing'!M18,'3.Market-Rate For-Sale Housing'!M27,'3.Market-Rate For-Sale Housing'!M9)</f>
        <v>0</v>
      </c>
    </row>
    <row r="52" spans="1:14">
      <c r="A52" s="665" t="s">
        <v>67</v>
      </c>
      <c r="B52" s="694"/>
      <c r="C52" s="992">
        <f>SUM('4.Affordable Rental Housing'!C58:C60)</f>
        <v>244.51900000000001</v>
      </c>
      <c r="D52" s="703">
        <f>SUM('4.Affordable Rental Housing'!C9,'4.Affordable Rental Housing'!C19,'4.Affordable Rental Housing'!C29)</f>
        <v>0</v>
      </c>
      <c r="E52" s="704">
        <f>SUM('4.Affordable Rental Housing'!D9,'4.Affordable Rental Housing'!D19,'4.Affordable Rental Housing'!D29)</f>
        <v>0</v>
      </c>
      <c r="F52" s="703">
        <f>SUM('4.Affordable Rental Housing'!E9,'4.Affordable Rental Housing'!E19,'4.Affordable Rental Housing'!E29)</f>
        <v>10</v>
      </c>
      <c r="G52" s="705">
        <f>SUM('4.Affordable Rental Housing'!F9,'4.Affordable Rental Housing'!F19,'4.Affordable Rental Housing'!F29)</f>
        <v>5</v>
      </c>
      <c r="H52" s="704">
        <f>SUM('4.Affordable Rental Housing'!G9,'4.Affordable Rental Housing'!G19,'4.Affordable Rental Housing'!G29)</f>
        <v>20</v>
      </c>
      <c r="I52" s="703">
        <f>SUM('4.Affordable Rental Housing'!H9,'4.Affordable Rental Housing'!H19,'4.Affordable Rental Housing'!H29)</f>
        <v>15</v>
      </c>
      <c r="J52" s="705">
        <f>SUM('4.Affordable Rental Housing'!I9,'4.Affordable Rental Housing'!I19,'4.Affordable Rental Housing'!I29)</f>
        <v>0</v>
      </c>
      <c r="K52" s="703">
        <f>SUM('4.Affordable Rental Housing'!J9,'4.Affordable Rental Housing'!J19,'4.Affordable Rental Housing'!J29)</f>
        <v>120</v>
      </c>
      <c r="L52" s="703">
        <f>SUM('4.Affordable Rental Housing'!K9,'4.Affordable Rental Housing'!K19,'4.Affordable Rental Housing'!K29)</f>
        <v>60</v>
      </c>
      <c r="M52" s="703">
        <f>SUM('4.Affordable Rental Housing'!L9,'4.Affordable Rental Housing'!L19,'4.Affordable Rental Housing'!L29)</f>
        <v>15</v>
      </c>
      <c r="N52" s="705">
        <f>SUM('4.Affordable Rental Housing'!M9,'4.Affordable Rental Housing'!M19,'4.Affordable Rental Housing'!M29)</f>
        <v>0</v>
      </c>
    </row>
    <row r="53" spans="1:14">
      <c r="A53" s="665" t="s">
        <v>413</v>
      </c>
      <c r="B53" s="694"/>
      <c r="C53" s="992">
        <f>SUM('5.Affordable For-Sale Housing '!C53:C55)</f>
        <v>75</v>
      </c>
      <c r="D53" s="703">
        <f>SUM('5.Affordable For-Sale Housing '!C9,'5.Affordable For-Sale Housing '!C18,'5.Affordable For-Sale Housing '!C27)</f>
        <v>0</v>
      </c>
      <c r="E53" s="704">
        <f>SUM('5.Affordable For-Sale Housing '!D9,'5.Affordable For-Sale Housing '!D18,'5.Affordable For-Sale Housing '!D27)</f>
        <v>10</v>
      </c>
      <c r="F53" s="703">
        <f>SUM('5.Affordable For-Sale Housing '!E9,'5.Affordable For-Sale Housing '!E18,'5.Affordable For-Sale Housing '!E27)</f>
        <v>0</v>
      </c>
      <c r="G53" s="705">
        <f>SUM('5.Affordable For-Sale Housing '!F9,'5.Affordable For-Sale Housing '!F18,'5.Affordable For-Sale Housing '!F27)</f>
        <v>0</v>
      </c>
      <c r="H53" s="704">
        <f>SUM('5.Affordable For-Sale Housing '!G9,'5.Affordable For-Sale Housing '!G18,'5.Affordable For-Sale Housing '!G27)</f>
        <v>0</v>
      </c>
      <c r="I53" s="703">
        <f>SUM('5.Affordable For-Sale Housing '!H9,'5.Affordable For-Sale Housing '!H18,'5.Affordable For-Sale Housing '!H27)</f>
        <v>10</v>
      </c>
      <c r="J53" s="705">
        <f>SUM('5.Affordable For-Sale Housing '!I9,'5.Affordable For-Sale Housing '!I18,'5.Affordable For-Sale Housing '!I27)</f>
        <v>5</v>
      </c>
      <c r="K53" s="703">
        <f>SUM('5.Affordable For-Sale Housing '!J9,'5.Affordable For-Sale Housing '!J18,'5.Affordable For-Sale Housing '!J27)</f>
        <v>0</v>
      </c>
      <c r="L53" s="703">
        <f>SUM('5.Affordable For-Sale Housing '!K9,'5.Affordable For-Sale Housing '!K18,'5.Affordable For-Sale Housing '!K27)</f>
        <v>0</v>
      </c>
      <c r="M53" s="703">
        <f>SUM('5.Affordable For-Sale Housing '!L9,'5.Affordable For-Sale Housing '!L18,'5.Affordable For-Sale Housing '!L27)</f>
        <v>50</v>
      </c>
      <c r="N53" s="705">
        <f>SUM('5.Affordable For-Sale Housing '!M9,'5.Affordable For-Sale Housing '!M18,'5.Affordable For-Sale Housing '!M27)</f>
        <v>0</v>
      </c>
    </row>
    <row r="54" spans="1:14">
      <c r="A54" s="651" t="s">
        <v>49</v>
      </c>
      <c r="B54" s="650"/>
      <c r="C54" s="1001">
        <f>'9.Hotel'!C33</f>
        <v>665</v>
      </c>
      <c r="D54" s="703">
        <f>'9.Hotel'!C8</f>
        <v>0</v>
      </c>
      <c r="E54" s="704">
        <f>'9.Hotel'!D8</f>
        <v>0</v>
      </c>
      <c r="F54" s="703">
        <f>'9.Hotel'!E8</f>
        <v>443.4226666666666</v>
      </c>
      <c r="G54" s="705">
        <f>'9.Hotel'!F8</f>
        <v>221.7113333333333</v>
      </c>
      <c r="H54" s="704">
        <f>'9.Hotel'!G8</f>
        <v>0</v>
      </c>
      <c r="I54" s="703">
        <f>'9.Hotel'!H8</f>
        <v>0</v>
      </c>
      <c r="J54" s="705">
        <f>'9.Hotel'!I8</f>
        <v>0</v>
      </c>
      <c r="K54" s="703">
        <f>'9.Hotel'!J8</f>
        <v>0</v>
      </c>
      <c r="L54" s="703">
        <f>'9.Hotel'!K8</f>
        <v>0</v>
      </c>
      <c r="M54" s="703">
        <f>'9.Hotel'!L8</f>
        <v>0</v>
      </c>
      <c r="N54" s="705">
        <f>'9.Hotel'!M8</f>
        <v>0</v>
      </c>
    </row>
    <row r="55" spans="1:14" ht="15.75" thickBot="1">
      <c r="A55" s="651" t="s">
        <v>50</v>
      </c>
      <c r="B55" s="650"/>
      <c r="C55" s="1002">
        <f>SUM('10.Structured Parking'!C106:C109)</f>
        <v>3920.2828125000005</v>
      </c>
      <c r="D55" s="703">
        <f>D66/'10.Structured Parking'!$D$112</f>
        <v>0</v>
      </c>
      <c r="E55" s="704">
        <f>E66/'10.Structured Parking'!$D$112</f>
        <v>527.68062499999996</v>
      </c>
      <c r="F55" s="703">
        <f>F66/'10.Structured Parking'!$D$112</f>
        <v>434.68656250000004</v>
      </c>
      <c r="G55" s="705">
        <f>G66/'10.Structured Parking'!$D$112</f>
        <v>0</v>
      </c>
      <c r="H55" s="704">
        <f>H66/'10.Structured Parking'!$D$112</f>
        <v>1611.0718750000001</v>
      </c>
      <c r="I55" s="703">
        <f>I66/'10.Structured Parking'!$D$112</f>
        <v>528.30937500000005</v>
      </c>
      <c r="J55" s="705">
        <f>J66/'10.Structured Parking'!$D$112</f>
        <v>0</v>
      </c>
      <c r="K55" s="703">
        <f>K66/'10.Structured Parking'!$D$112</f>
        <v>0</v>
      </c>
      <c r="L55" s="703">
        <f>L66/'10.Structured Parking'!$D$112</f>
        <v>545.6895833333333</v>
      </c>
      <c r="M55" s="703">
        <f>M66/'10.Structured Parking'!$D$112</f>
        <v>272.84479166666665</v>
      </c>
      <c r="N55" s="705">
        <f>N66/'10.Structured Parking'!$D$112</f>
        <v>0</v>
      </c>
    </row>
    <row r="56" spans="1:14" ht="15.75" hidden="1" thickBot="1">
      <c r="A56" s="651" t="s">
        <v>51</v>
      </c>
      <c r="B56" s="650"/>
      <c r="C56" s="1002">
        <f>SUM('11.Surface Parking'!C83:C85)</f>
        <v>0</v>
      </c>
      <c r="D56" s="703">
        <f>D67/'11.Surface Parking'!$D$88</f>
        <v>0</v>
      </c>
      <c r="E56" s="704">
        <f>E67/'11.Surface Parking'!$D$88</f>
        <v>0</v>
      </c>
      <c r="F56" s="703">
        <f>F67/'11.Surface Parking'!$D$88</f>
        <v>0</v>
      </c>
      <c r="G56" s="705">
        <f>G67/'11.Surface Parking'!$D$88</f>
        <v>0</v>
      </c>
      <c r="H56" s="704">
        <f>H67/'11.Surface Parking'!$D$88</f>
        <v>0</v>
      </c>
      <c r="I56" s="703">
        <f>I67/'11.Surface Parking'!$D$88</f>
        <v>0</v>
      </c>
      <c r="J56" s="705">
        <f>J67/'11.Surface Parking'!$D$88</f>
        <v>0</v>
      </c>
      <c r="K56" s="703">
        <f>K67/'11.Surface Parking'!$D$88</f>
        <v>0</v>
      </c>
      <c r="L56" s="703">
        <f>L67/'11.Surface Parking'!$D$88</f>
        <v>0</v>
      </c>
      <c r="M56" s="703">
        <f>M67/'11.Surface Parking'!$D$88</f>
        <v>0</v>
      </c>
      <c r="N56" s="705">
        <f>N67/'11.Surface Parking'!$D$88</f>
        <v>0</v>
      </c>
    </row>
    <row r="57" spans="1:14" ht="16.5" thickBot="1">
      <c r="A57" s="22" t="s">
        <v>31</v>
      </c>
      <c r="B57" s="23"/>
      <c r="C57" s="17"/>
      <c r="D57" s="17"/>
      <c r="E57" s="474"/>
      <c r="F57" s="18"/>
      <c r="G57" s="24"/>
      <c r="H57" s="474"/>
      <c r="I57" s="18"/>
      <c r="J57" s="24"/>
      <c r="K57" s="18"/>
      <c r="L57" s="18"/>
      <c r="M57" s="18"/>
      <c r="N57" s="24"/>
    </row>
    <row r="58" spans="1:14">
      <c r="A58" s="665" t="s">
        <v>65</v>
      </c>
      <c r="B58" s="666"/>
      <c r="C58" s="1003">
        <f>SUM('2.Market-Rate Rental Housing'!D78:D82)</f>
        <v>1210343.7</v>
      </c>
      <c r="D58" s="703">
        <f>D50*'2.Market-Rate Rental Housing'!$B$12</f>
        <v>0</v>
      </c>
      <c r="E58" s="704">
        <f>E50*'2.Market-Rate Rental Housing'!$B$12</f>
        <v>0</v>
      </c>
      <c r="F58" s="703">
        <f>F50*'2.Market-Rate Rental Housing'!$B$12</f>
        <v>94000</v>
      </c>
      <c r="G58" s="705">
        <f>G50*'2.Market-Rate Rental Housing'!$B$12</f>
        <v>47000</v>
      </c>
      <c r="H58" s="704">
        <f>H50*'2.Market-Rate Rental Housing'!$B$12</f>
        <v>339000</v>
      </c>
      <c r="I58" s="703">
        <f>I50*'2.Market-Rate Rental Housing'!$B$12</f>
        <v>81000</v>
      </c>
      <c r="J58" s="705">
        <f>J50*'2.Market-Rate Rental Housing'!$B$12</f>
        <v>40000</v>
      </c>
      <c r="K58" s="703">
        <f>K50*'2.Market-Rate Rental Housing'!$B$12</f>
        <v>397000</v>
      </c>
      <c r="L58" s="703">
        <f>L50*'2.Market-Rate Rental Housing'!$B$12</f>
        <v>198000</v>
      </c>
      <c r="M58" s="703">
        <f>M50*'2.Market-Rate Rental Housing'!$B$12</f>
        <v>15000</v>
      </c>
      <c r="N58" s="705">
        <f>N50*'2.Market-Rate Rental Housing'!$B$12</f>
        <v>0</v>
      </c>
    </row>
    <row r="59" spans="1:14">
      <c r="A59" s="665" t="s">
        <v>66</v>
      </c>
      <c r="B59" s="666"/>
      <c r="C59" s="1003">
        <f>SUM('3.Market-Rate For-Sale Housing'!D53:D55)</f>
        <v>632973.5</v>
      </c>
      <c r="D59" s="703">
        <f>D51*'3.Market-Rate For-Sale Housing'!$B$21</f>
        <v>0</v>
      </c>
      <c r="E59" s="704">
        <f>E51*'3.Market-Rate For-Sale Housing'!$B$21</f>
        <v>242000</v>
      </c>
      <c r="F59" s="703">
        <f>F51*'3.Market-Rate For-Sale Housing'!$B$21</f>
        <v>0</v>
      </c>
      <c r="G59" s="705">
        <f>G51*'3.Market-Rate For-Sale Housing'!$B$21</f>
        <v>0</v>
      </c>
      <c r="H59" s="704">
        <f>H51*'3.Market-Rate For-Sale Housing'!$B$21</f>
        <v>4000</v>
      </c>
      <c r="I59" s="703">
        <f>I51*'3.Market-Rate For-Sale Housing'!$B$21</f>
        <v>109000</v>
      </c>
      <c r="J59" s="705">
        <f>J51*'3.Market-Rate For-Sale Housing'!$B$21</f>
        <v>53000</v>
      </c>
      <c r="K59" s="703">
        <f>K51*'3.Market-Rate For-Sale Housing'!$B$21</f>
        <v>0</v>
      </c>
      <c r="L59" s="703">
        <f>L51*'3.Market-Rate For-Sale Housing'!$B$21</f>
        <v>200000</v>
      </c>
      <c r="M59" s="703">
        <f>M51*'3.Market-Rate For-Sale Housing'!$B$21</f>
        <v>26000</v>
      </c>
      <c r="N59" s="705">
        <f>N51*'3.Market-Rate For-Sale Housing'!$B$21</f>
        <v>0</v>
      </c>
    </row>
    <row r="60" spans="1:14">
      <c r="A60" s="665" t="s">
        <v>67</v>
      </c>
      <c r="B60" s="666"/>
      <c r="C60" s="1003">
        <f>SUM('4.Affordable Rental Housing'!D58:D60)</f>
        <v>244519</v>
      </c>
      <c r="D60" s="703">
        <f>D52*'4.Affordable Rental Housing'!$B$12</f>
        <v>0</v>
      </c>
      <c r="E60" s="704">
        <f>E52*'4.Affordable Rental Housing'!$B$12</f>
        <v>0</v>
      </c>
      <c r="F60" s="703">
        <f>F52*'4.Affordable Rental Housing'!$B$12</f>
        <v>10000</v>
      </c>
      <c r="G60" s="705">
        <f>G52*'4.Affordable Rental Housing'!$B$12</f>
        <v>5000</v>
      </c>
      <c r="H60" s="704">
        <f>H52*'4.Affordable Rental Housing'!$B$12</f>
        <v>20000</v>
      </c>
      <c r="I60" s="703">
        <f>I52*'4.Affordable Rental Housing'!$B$12</f>
        <v>15000</v>
      </c>
      <c r="J60" s="705">
        <f>J52*'4.Affordable Rental Housing'!$B$12</f>
        <v>0</v>
      </c>
      <c r="K60" s="703">
        <f>K52*'4.Affordable Rental Housing'!$B$12</f>
        <v>120000</v>
      </c>
      <c r="L60" s="703">
        <f>L52*'4.Affordable Rental Housing'!$B$12</f>
        <v>60000</v>
      </c>
      <c r="M60" s="703">
        <f>M52*'4.Affordable Rental Housing'!$B$12</f>
        <v>15000</v>
      </c>
      <c r="N60" s="705">
        <f>N52*'4.Affordable Rental Housing'!$B$12</f>
        <v>0</v>
      </c>
    </row>
    <row r="61" spans="1:14">
      <c r="A61" s="665" t="s">
        <v>413</v>
      </c>
      <c r="B61" s="666"/>
      <c r="C61" s="1003">
        <f>SUM('5.Affordable For-Sale Housing '!D53:D55)</f>
        <v>75000</v>
      </c>
      <c r="D61" s="703">
        <f>D53*'5.Affordable For-Sale Housing '!$B$12</f>
        <v>0</v>
      </c>
      <c r="E61" s="704">
        <f>E53*'5.Affordable For-Sale Housing '!$B$12</f>
        <v>10000</v>
      </c>
      <c r="F61" s="703">
        <f>F53*'5.Affordable For-Sale Housing '!$B$12</f>
        <v>0</v>
      </c>
      <c r="G61" s="705">
        <f>G53*'5.Affordable For-Sale Housing '!$B$12</f>
        <v>0</v>
      </c>
      <c r="H61" s="704">
        <f>H53*'5.Affordable For-Sale Housing '!$B$12</f>
        <v>0</v>
      </c>
      <c r="I61" s="703">
        <f>I53*'5.Affordable For-Sale Housing '!$B$12</f>
        <v>10000</v>
      </c>
      <c r="J61" s="705">
        <f>J53*'5.Affordable For-Sale Housing '!$B$12</f>
        <v>5000</v>
      </c>
      <c r="K61" s="703">
        <f>K53*'5.Affordable For-Sale Housing '!$B$12</f>
        <v>0</v>
      </c>
      <c r="L61" s="703">
        <f>L53*'5.Affordable For-Sale Housing '!$B$12</f>
        <v>0</v>
      </c>
      <c r="M61" s="703">
        <f>M53*'5.Affordable For-Sale Housing '!$B$12</f>
        <v>50000</v>
      </c>
      <c r="N61" s="705">
        <f>N53*'5.Affordable For-Sale Housing '!$B$12</f>
        <v>0</v>
      </c>
    </row>
    <row r="62" spans="1:14">
      <c r="A62" s="665" t="s">
        <v>68</v>
      </c>
      <c r="B62" s="650"/>
      <c r="C62" s="1003">
        <f>SUM('6.Office'!C47:C48)</f>
        <v>785249.32799999998</v>
      </c>
      <c r="D62" s="703">
        <f>'Development Schedule'!D83</f>
        <v>0</v>
      </c>
      <c r="E62" s="704">
        <f>'Development Schedule'!E83</f>
        <v>277586.66666666663</v>
      </c>
      <c r="F62" s="703">
        <f>'Development Schedule'!F83</f>
        <v>154152.33333333331</v>
      </c>
      <c r="G62" s="705">
        <f>'Development Schedule'!G83</f>
        <v>0</v>
      </c>
      <c r="H62" s="704">
        <f>'Development Schedule'!H83</f>
        <v>0</v>
      </c>
      <c r="I62" s="703">
        <f>'Development Schedule'!I83</f>
        <v>353510.32799999998</v>
      </c>
      <c r="J62" s="705">
        <f>'Development Schedule'!J83</f>
        <v>0</v>
      </c>
      <c r="K62" s="703">
        <f>'Development Schedule'!K83</f>
        <v>0</v>
      </c>
      <c r="L62" s="703">
        <f>'Development Schedule'!L83</f>
        <v>0</v>
      </c>
      <c r="M62" s="703">
        <f>'Development Schedule'!M83</f>
        <v>0</v>
      </c>
      <c r="N62" s="705">
        <f>'Development Schedule'!N83</f>
        <v>0</v>
      </c>
    </row>
    <row r="63" spans="1:14">
      <c r="A63" s="665" t="s">
        <v>441</v>
      </c>
      <c r="B63" s="650"/>
      <c r="C63" s="1003">
        <f>SUM('7.Industrial &amp; School'!C56:C58)</f>
        <v>218582</v>
      </c>
      <c r="D63" s="703">
        <f>'Development Schedule'!D82</f>
        <v>0</v>
      </c>
      <c r="E63" s="704">
        <f>'Development Schedule'!E82</f>
        <v>0</v>
      </c>
      <c r="F63" s="703">
        <f>'Development Schedule'!F82</f>
        <v>36727</v>
      </c>
      <c r="G63" s="705">
        <f>'Development Schedule'!G82</f>
        <v>0</v>
      </c>
      <c r="H63" s="704">
        <f>'Development Schedule'!H82</f>
        <v>0</v>
      </c>
      <c r="I63" s="703">
        <f>'Development Schedule'!I82</f>
        <v>166473</v>
      </c>
      <c r="J63" s="705">
        <f>'Development Schedule'!J82</f>
        <v>15382</v>
      </c>
      <c r="K63" s="703">
        <f>'Development Schedule'!K82</f>
        <v>0</v>
      </c>
      <c r="L63" s="703">
        <f>'Development Schedule'!L82</f>
        <v>0</v>
      </c>
      <c r="M63" s="703">
        <f>'Development Schedule'!M82</f>
        <v>18333</v>
      </c>
      <c r="N63" s="705">
        <f>'Development Schedule'!N82</f>
        <v>0</v>
      </c>
    </row>
    <row r="64" spans="1:14">
      <c r="A64" s="665" t="s">
        <v>137</v>
      </c>
      <c r="B64" s="650"/>
      <c r="C64" s="1003">
        <f>SUM('8.Market-Rate Retail'!C103:C110)</f>
        <v>521435.97</v>
      </c>
      <c r="D64" s="703">
        <f>'Development Schedule'!D77</f>
        <v>0</v>
      </c>
      <c r="E64" s="704">
        <f>'Development Schedule'!E77</f>
        <v>77635</v>
      </c>
      <c r="F64" s="703">
        <f>'Development Schedule'!F77</f>
        <v>71538.666666666657</v>
      </c>
      <c r="G64" s="705">
        <f>'Development Schedule'!G77</f>
        <v>35769.333333333328</v>
      </c>
      <c r="H64" s="704">
        <f>'Development Schedule'!H77</f>
        <v>161301.79999999999</v>
      </c>
      <c r="I64" s="703">
        <f>'Development Schedule'!I77</f>
        <v>75724.17</v>
      </c>
      <c r="J64" s="705">
        <f>'Development Schedule'!J77</f>
        <v>25008</v>
      </c>
      <c r="K64" s="703">
        <f>'Development Schedule'!K77</f>
        <v>0</v>
      </c>
      <c r="L64" s="703">
        <f>'Development Schedule'!L77</f>
        <v>42681</v>
      </c>
      <c r="M64" s="703">
        <f>'Development Schedule'!M77</f>
        <v>31778</v>
      </c>
      <c r="N64" s="705">
        <f>'Development Schedule'!N77</f>
        <v>0</v>
      </c>
    </row>
    <row r="65" spans="1:14">
      <c r="A65" s="665" t="s">
        <v>49</v>
      </c>
      <c r="B65" s="650"/>
      <c r="C65" s="1003">
        <f>SUM('9.Hotel'!D33)</f>
        <v>332567</v>
      </c>
      <c r="D65" s="703">
        <f>'Development Schedule'!D76</f>
        <v>0</v>
      </c>
      <c r="E65" s="704">
        <f>'Development Schedule'!E76</f>
        <v>221711.33333333331</v>
      </c>
      <c r="F65" s="703">
        <f>'Development Schedule'!F76</f>
        <v>110855.66666666666</v>
      </c>
      <c r="G65" s="705">
        <f>'Development Schedule'!G76</f>
        <v>0</v>
      </c>
      <c r="H65" s="704">
        <f>'Development Schedule'!H76</f>
        <v>0</v>
      </c>
      <c r="I65" s="703">
        <f>'Development Schedule'!I76</f>
        <v>0</v>
      </c>
      <c r="J65" s="705">
        <f>'Development Schedule'!J76</f>
        <v>0</v>
      </c>
      <c r="K65" s="703">
        <f>'Development Schedule'!K76</f>
        <v>0</v>
      </c>
      <c r="L65" s="703">
        <f>'Development Schedule'!L76</f>
        <v>0</v>
      </c>
      <c r="M65" s="703">
        <f>'Development Schedule'!M76</f>
        <v>0</v>
      </c>
      <c r="N65" s="705">
        <f>'Development Schedule'!N76</f>
        <v>0</v>
      </c>
    </row>
    <row r="66" spans="1:14">
      <c r="A66" s="665" t="s">
        <v>50</v>
      </c>
      <c r="B66" s="650"/>
      <c r="C66" s="1003">
        <f>SUM('10.Structured Parking'!D106:D109)</f>
        <v>1254490.5</v>
      </c>
      <c r="D66" s="703">
        <f>'Development Schedule'!D84</f>
        <v>0</v>
      </c>
      <c r="E66" s="704">
        <f>'Development Schedule'!E84</f>
        <v>168857.8</v>
      </c>
      <c r="F66" s="703">
        <f>'Development Schedule'!F84</f>
        <v>139099.70000000001</v>
      </c>
      <c r="G66" s="705">
        <f>'Development Schedule'!G84</f>
        <v>0</v>
      </c>
      <c r="H66" s="704">
        <f>'Development Schedule'!H84</f>
        <v>515543</v>
      </c>
      <c r="I66" s="703">
        <f>'Development Schedule'!I84</f>
        <v>169059</v>
      </c>
      <c r="J66" s="705">
        <f>'Development Schedule'!J84</f>
        <v>0</v>
      </c>
      <c r="K66" s="703">
        <f>'Development Schedule'!K84</f>
        <v>0</v>
      </c>
      <c r="L66" s="703">
        <f>'Development Schedule'!L84</f>
        <v>174620.66666666666</v>
      </c>
      <c r="M66" s="703">
        <f>'Development Schedule'!M84</f>
        <v>87310.333333333328</v>
      </c>
      <c r="N66" s="705">
        <f>'Development Schedule'!N84</f>
        <v>0</v>
      </c>
    </row>
    <row r="67" spans="1:14" hidden="1">
      <c r="A67" s="672" t="s">
        <v>51</v>
      </c>
      <c r="B67" s="657"/>
      <c r="C67" s="1004">
        <f>SUM('11.Surface Parking'!D83:D85)</f>
        <v>0</v>
      </c>
      <c r="D67" s="1005">
        <f>'Development Schedule'!D85</f>
        <v>0</v>
      </c>
      <c r="E67" s="1006">
        <f>'Development Schedule'!E85</f>
        <v>0</v>
      </c>
      <c r="F67" s="1005">
        <f>'Development Schedule'!F85</f>
        <v>0</v>
      </c>
      <c r="G67" s="1007">
        <f>'Development Schedule'!G85</f>
        <v>0</v>
      </c>
      <c r="H67" s="1006">
        <f>'Development Schedule'!H85</f>
        <v>0</v>
      </c>
      <c r="I67" s="1005">
        <f>'Development Schedule'!I85</f>
        <v>0</v>
      </c>
      <c r="J67" s="1007">
        <f>'Development Schedule'!J85</f>
        <v>0</v>
      </c>
      <c r="K67" s="1005">
        <f>'Development Schedule'!K85</f>
        <v>0</v>
      </c>
      <c r="L67" s="1005">
        <f>'Development Schedule'!L85</f>
        <v>0</v>
      </c>
      <c r="M67" s="1005">
        <f>'Development Schedule'!M85</f>
        <v>0</v>
      </c>
      <c r="N67" s="1007">
        <f>'Development Schedule'!N85</f>
        <v>0</v>
      </c>
    </row>
    <row r="68" spans="1:14" ht="16.5" thickBot="1">
      <c r="A68" s="689" t="s">
        <v>32</v>
      </c>
      <c r="B68" s="659"/>
      <c r="C68" s="690"/>
      <c r="D68" s="691">
        <f>SUM(D58:D67)</f>
        <v>0</v>
      </c>
      <c r="E68" s="692">
        <f t="shared" ref="E68:N68" si="8">SUM(E58:E67)</f>
        <v>997790.8</v>
      </c>
      <c r="F68" s="691">
        <f t="shared" si="8"/>
        <v>616373.3666666667</v>
      </c>
      <c r="G68" s="693">
        <f t="shared" si="8"/>
        <v>87769.333333333328</v>
      </c>
      <c r="H68" s="692">
        <f t="shared" si="8"/>
        <v>1039844.8</v>
      </c>
      <c r="I68" s="691">
        <f t="shared" si="8"/>
        <v>979766.49800000002</v>
      </c>
      <c r="J68" s="693">
        <f t="shared" si="8"/>
        <v>138390</v>
      </c>
      <c r="K68" s="691">
        <f t="shared" si="8"/>
        <v>517000</v>
      </c>
      <c r="L68" s="691">
        <f t="shared" si="8"/>
        <v>675301.66666666663</v>
      </c>
      <c r="M68" s="691">
        <f t="shared" si="8"/>
        <v>243421.33333333331</v>
      </c>
      <c r="N68" s="693">
        <f t="shared" si="8"/>
        <v>0</v>
      </c>
    </row>
    <row r="69" spans="1:14" s="10" customFormat="1" ht="16.5" thickBot="1">
      <c r="A69" s="554"/>
      <c r="B69" s="498"/>
      <c r="C69" s="499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</row>
    <row r="70" spans="1:14" ht="16.5" thickBot="1">
      <c r="A70" s="990" t="s">
        <v>140</v>
      </c>
      <c r="B70" s="991"/>
      <c r="C70" s="991"/>
      <c r="D70" s="991"/>
      <c r="E70" s="991"/>
      <c r="F70" s="979"/>
      <c r="G70" s="976"/>
      <c r="H70" s="10"/>
      <c r="I70" s="1008" t="s">
        <v>252</v>
      </c>
      <c r="J70" s="978"/>
      <c r="K70" s="978"/>
      <c r="L70" s="978"/>
      <c r="M70" s="978"/>
      <c r="N70" s="1009"/>
    </row>
    <row r="71" spans="1:14" s="14" customFormat="1" ht="16.5" customHeight="1" thickBot="1">
      <c r="A71" s="662" t="s">
        <v>2</v>
      </c>
      <c r="B71" s="645"/>
      <c r="C71" s="663"/>
      <c r="D71" s="664"/>
      <c r="E71" s="646" t="s">
        <v>53</v>
      </c>
      <c r="F71" s="647" t="s">
        <v>35</v>
      </c>
      <c r="G71" s="8"/>
      <c r="H71" s="13"/>
      <c r="I71" s="1010"/>
      <c r="J71" s="664"/>
      <c r="K71" s="664"/>
      <c r="L71" s="645"/>
      <c r="M71" s="646" t="s">
        <v>52</v>
      </c>
      <c r="N71" s="647" t="s">
        <v>76</v>
      </c>
    </row>
    <row r="72" spans="1:14" ht="15.75">
      <c r="A72" s="665" t="s">
        <v>65</v>
      </c>
      <c r="B72" s="666"/>
      <c r="C72" s="666"/>
      <c r="D72" s="650"/>
      <c r="E72" s="960">
        <f>F72/C50</f>
        <v>284726.88226914016</v>
      </c>
      <c r="F72" s="966">
        <f t="shared" ref="F72:F80" si="9">SUM(D17:N17)</f>
        <v>344617388.1750955</v>
      </c>
      <c r="G72" s="11"/>
      <c r="H72" s="10"/>
      <c r="I72" s="1057" t="s">
        <v>77</v>
      </c>
      <c r="J72" s="498"/>
      <c r="K72" s="498"/>
      <c r="L72" s="1058"/>
      <c r="M72" s="950"/>
      <c r="N72" s="1063"/>
    </row>
    <row r="73" spans="1:14">
      <c r="A73" s="665" t="s">
        <v>66</v>
      </c>
      <c r="B73" s="666"/>
      <c r="C73" s="666"/>
      <c r="D73" s="650"/>
      <c r="E73" s="961">
        <f>F73/C51</f>
        <v>277341.93553060829</v>
      </c>
      <c r="F73" s="930">
        <f t="shared" si="9"/>
        <v>175550095.62958348</v>
      </c>
      <c r="G73" s="11"/>
      <c r="H73" s="10"/>
      <c r="I73" s="651" t="s">
        <v>436</v>
      </c>
      <c r="J73" s="650"/>
      <c r="K73" s="650"/>
      <c r="L73" s="1059"/>
      <c r="M73" s="670">
        <f>Budget!C12</f>
        <v>397030237.55734479</v>
      </c>
      <c r="N73" s="654">
        <f>M73/$M$85</f>
        <v>0.290703249561441</v>
      </c>
    </row>
    <row r="74" spans="1:14">
      <c r="A74" s="665" t="s">
        <v>67</v>
      </c>
      <c r="B74" s="666"/>
      <c r="C74" s="666"/>
      <c r="D74" s="650"/>
      <c r="E74" s="962">
        <f>F74/C52</f>
        <v>293749.56402867963</v>
      </c>
      <c r="F74" s="930">
        <f t="shared" si="9"/>
        <v>71827349.646728709</v>
      </c>
      <c r="G74" s="11"/>
      <c r="H74" s="10"/>
      <c r="I74" s="651" t="s">
        <v>435</v>
      </c>
      <c r="J74" s="650"/>
      <c r="K74" s="650"/>
      <c r="L74" s="1065"/>
      <c r="M74" s="670">
        <f>Budget!C13</f>
        <v>48300000</v>
      </c>
      <c r="N74" s="654">
        <f>M74/$M$85</f>
        <v>3.5364981368175015E-2</v>
      </c>
    </row>
    <row r="75" spans="1:14">
      <c r="A75" s="694" t="s">
        <v>413</v>
      </c>
      <c r="B75" s="666"/>
      <c r="C75" s="666"/>
      <c r="D75" s="650"/>
      <c r="E75" s="961">
        <f>F75/C53</f>
        <v>298697.43964676239</v>
      </c>
      <c r="F75" s="930">
        <f t="shared" si="9"/>
        <v>22402307.973507177</v>
      </c>
      <c r="G75" s="11"/>
      <c r="H75" s="10"/>
      <c r="I75" s="651"/>
      <c r="J75" s="650"/>
      <c r="K75" s="650"/>
      <c r="L75" s="1065"/>
      <c r="M75" s="670"/>
      <c r="N75" s="654"/>
    </row>
    <row r="76" spans="1:14" ht="15.75">
      <c r="A76" s="21" t="s">
        <v>393</v>
      </c>
      <c r="E76" s="963">
        <f>F76/C62</f>
        <v>240.6656175886406</v>
      </c>
      <c r="F76" s="967">
        <f t="shared" si="9"/>
        <v>188982514.48418501</v>
      </c>
      <c r="G76" s="11"/>
      <c r="H76" s="10"/>
      <c r="I76" s="648" t="s">
        <v>78</v>
      </c>
      <c r="J76" s="649"/>
      <c r="K76" s="649"/>
      <c r="L76" s="1060"/>
      <c r="M76" s="651"/>
      <c r="N76" s="654"/>
    </row>
    <row r="77" spans="1:14">
      <c r="A77" s="665" t="s">
        <v>442</v>
      </c>
      <c r="B77" s="650"/>
      <c r="C77" s="666"/>
      <c r="D77" s="650"/>
      <c r="E77" s="961">
        <f>F77/C63</f>
        <v>194.9330911010378</v>
      </c>
      <c r="F77" s="930">
        <f t="shared" si="9"/>
        <v>42608864.919047043</v>
      </c>
      <c r="G77" s="11"/>
      <c r="H77" s="10"/>
      <c r="I77" s="651" t="s">
        <v>457</v>
      </c>
      <c r="J77" s="650"/>
      <c r="K77" s="650"/>
      <c r="L77" s="1060"/>
      <c r="M77" s="671">
        <f>Budget!C11</f>
        <v>887742585.6147176</v>
      </c>
      <c r="N77" s="654">
        <f>M77/$M$85</f>
        <v>0.65</v>
      </c>
    </row>
    <row r="78" spans="1:14">
      <c r="A78" s="665" t="s">
        <v>69</v>
      </c>
      <c r="B78" s="650"/>
      <c r="C78" s="666"/>
      <c r="D78" s="650"/>
      <c r="E78" s="961">
        <f>F78/C64</f>
        <v>226.57161283522584</v>
      </c>
      <c r="F78" s="930">
        <f t="shared" si="9"/>
        <v>118142588.71320042</v>
      </c>
      <c r="G78" s="11"/>
      <c r="H78" s="10"/>
      <c r="I78" s="651"/>
      <c r="J78" s="650"/>
      <c r="K78" s="650"/>
      <c r="L78" s="1060"/>
      <c r="M78" s="651"/>
      <c r="N78" s="652"/>
    </row>
    <row r="79" spans="1:14" ht="15.75">
      <c r="A79" s="665" t="s">
        <v>49</v>
      </c>
      <c r="B79" s="650"/>
      <c r="C79" s="666"/>
      <c r="D79" s="650"/>
      <c r="E79" s="964">
        <f>F79/C54</f>
        <v>134614.86508881711</v>
      </c>
      <c r="F79" s="930">
        <f t="shared" si="9"/>
        <v>89518885.284063384</v>
      </c>
      <c r="G79" s="11"/>
      <c r="H79" s="10"/>
      <c r="I79" s="648" t="s">
        <v>79</v>
      </c>
      <c r="J79" s="649"/>
      <c r="K79" s="649"/>
      <c r="L79" s="1060"/>
      <c r="M79" s="651"/>
      <c r="N79" s="652"/>
    </row>
    <row r="80" spans="1:14" ht="15.75">
      <c r="A80" s="665" t="s">
        <v>191</v>
      </c>
      <c r="B80" s="650"/>
      <c r="C80" s="666"/>
      <c r="D80" s="650"/>
      <c r="E80" s="964">
        <f>F80/(C55)</f>
        <v>17505.492504412268</v>
      </c>
      <c r="F80" s="930">
        <f t="shared" si="9"/>
        <v>68626481.389394999</v>
      </c>
      <c r="G80" s="11"/>
      <c r="H80" s="10"/>
      <c r="I80" s="651" t="s">
        <v>473</v>
      </c>
      <c r="J80" s="649"/>
      <c r="K80" s="649"/>
      <c r="L80" s="1060"/>
      <c r="M80" s="1072">
        <f>E91</f>
        <v>7846334</v>
      </c>
      <c r="N80" s="654">
        <f>M80/$M$85</f>
        <v>5.7450404910657999E-3</v>
      </c>
    </row>
    <row r="81" spans="1:14" ht="18">
      <c r="A81" s="665" t="s">
        <v>240</v>
      </c>
      <c r="B81" s="650"/>
      <c r="C81" s="666"/>
      <c r="D81" s="650"/>
      <c r="E81" s="961">
        <f>F81/'Land Acquisition'!D7</f>
        <v>157.37933613257394</v>
      </c>
      <c r="F81" s="667">
        <f>SUM(D27:N27)</f>
        <v>212648913.05096418</v>
      </c>
      <c r="G81" s="11"/>
      <c r="H81" s="10"/>
      <c r="I81" s="959" t="s">
        <v>462</v>
      </c>
      <c r="J81" s="650"/>
      <c r="K81" s="650"/>
      <c r="L81" s="1060"/>
      <c r="M81" s="671">
        <f>Budget!C15</f>
        <v>3500000</v>
      </c>
      <c r="N81" s="654">
        <f>M81/$M$85</f>
        <v>2.5626798092880446E-3</v>
      </c>
    </row>
    <row r="82" spans="1:14" ht="19.5" thickBot="1">
      <c r="A82" s="665" t="s">
        <v>237</v>
      </c>
      <c r="B82" s="650"/>
      <c r="C82" s="666"/>
      <c r="D82" s="650"/>
      <c r="E82" s="1011">
        <v>1.25</v>
      </c>
      <c r="F82" s="968">
        <f>SUM(D29:N29)</f>
        <v>1688983.75</v>
      </c>
      <c r="G82" s="8"/>
      <c r="H82" s="10"/>
      <c r="I82" s="959" t="s">
        <v>461</v>
      </c>
      <c r="J82" s="650"/>
      <c r="K82" s="650"/>
      <c r="L82" s="1060"/>
      <c r="M82" s="671">
        <f>Budget!C16</f>
        <v>10167750</v>
      </c>
      <c r="N82" s="654">
        <f t="shared" ref="N82:N83" si="10">M82/$M$85</f>
        <v>7.4447678945395758E-3</v>
      </c>
    </row>
    <row r="83" spans="1:14" ht="19.5" thickBot="1">
      <c r="A83" s="662" t="s">
        <v>423</v>
      </c>
      <c r="B83" s="945"/>
      <c r="C83" s="946"/>
      <c r="D83" s="945"/>
      <c r="E83" s="1012"/>
      <c r="F83" s="948">
        <f>Budget!C7</f>
        <v>6570000</v>
      </c>
      <c r="G83" s="771"/>
      <c r="H83" s="10"/>
      <c r="I83" s="959" t="s">
        <v>463</v>
      </c>
      <c r="J83" s="650"/>
      <c r="K83" s="650"/>
      <c r="L83" s="1060"/>
      <c r="M83" s="671">
        <f>Budget!C17</f>
        <v>3900000</v>
      </c>
      <c r="N83" s="654">
        <f t="shared" si="10"/>
        <v>2.8555575017781068E-3</v>
      </c>
    </row>
    <row r="84" spans="1:14" ht="19.5" thickBot="1">
      <c r="A84" s="662" t="s">
        <v>139</v>
      </c>
      <c r="B84" s="668"/>
      <c r="C84" s="668"/>
      <c r="D84" s="669"/>
      <c r="E84" s="646" t="s">
        <v>55</v>
      </c>
      <c r="F84" s="647" t="s">
        <v>56</v>
      </c>
      <c r="G84" s="771"/>
      <c r="H84" s="10"/>
      <c r="I84" s="959" t="s">
        <v>464</v>
      </c>
      <c r="J84" s="10"/>
      <c r="K84" s="10"/>
      <c r="L84" s="926"/>
      <c r="M84" s="671">
        <f>Budget!C18</f>
        <v>7270916.8505800003</v>
      </c>
      <c r="N84" s="654">
        <f>M84/$M$85</f>
        <v>5.3237233737124532E-3</v>
      </c>
    </row>
    <row r="85" spans="1:14" ht="19.5" thickBot="1">
      <c r="A85" s="665" t="s">
        <v>347</v>
      </c>
      <c r="B85" s="650"/>
      <c r="C85" s="666"/>
      <c r="D85" s="650"/>
      <c r="E85" s="1073">
        <f>SUM('1.Infrastructure Costs'!D12:N12)</f>
        <v>432600</v>
      </c>
      <c r="F85" s="1074">
        <f>E85</f>
        <v>432600</v>
      </c>
      <c r="G85" s="752"/>
      <c r="H85" s="10"/>
      <c r="I85" s="658" t="s">
        <v>460</v>
      </c>
      <c r="J85" s="659"/>
      <c r="K85" s="659"/>
      <c r="L85" s="1056"/>
      <c r="M85" s="660">
        <f>SUM(M73:M84)</f>
        <v>1365757824.0226424</v>
      </c>
      <c r="N85" s="661">
        <f>SUM(N73:N84)</f>
        <v>1.0000000000000002</v>
      </c>
    </row>
    <row r="86" spans="1:14" ht="15" customHeight="1">
      <c r="A86" s="665" t="s">
        <v>348</v>
      </c>
      <c r="B86" s="650"/>
      <c r="C86" s="666"/>
      <c r="D86" s="650"/>
      <c r="E86" s="671">
        <f>SUM('1.Infrastructure Costs'!D13:N13)</f>
        <v>2734650</v>
      </c>
      <c r="F86" s="1074">
        <f t="shared" ref="F86:F89" si="11">E86</f>
        <v>2734650</v>
      </c>
      <c r="G86" s="10"/>
      <c r="H86" s="10"/>
      <c r="I86" s="1117" t="s">
        <v>472</v>
      </c>
      <c r="J86" s="1117"/>
      <c r="K86" s="1117"/>
      <c r="L86" s="1117"/>
      <c r="M86" s="1117"/>
      <c r="N86" s="1117"/>
    </row>
    <row r="87" spans="1:14" ht="15.6" customHeight="1">
      <c r="A87" s="665" t="s">
        <v>446</v>
      </c>
      <c r="B87" s="650"/>
      <c r="C87" s="666"/>
      <c r="D87" s="650"/>
      <c r="E87" s="671">
        <f>SUM('1.Infrastructure Costs'!D14:N14)</f>
        <v>2291544</v>
      </c>
      <c r="F87" s="1074">
        <f t="shared" si="11"/>
        <v>2291544</v>
      </c>
      <c r="G87" s="10"/>
      <c r="H87" s="10"/>
      <c r="I87" s="1118"/>
      <c r="J87" s="1118"/>
      <c r="K87" s="1118"/>
      <c r="L87" s="1118"/>
      <c r="M87" s="1118"/>
      <c r="N87" s="1118"/>
    </row>
    <row r="88" spans="1:14">
      <c r="A88" s="665" t="s">
        <v>466</v>
      </c>
      <c r="B88" s="650"/>
      <c r="C88" s="666"/>
      <c r="D88" s="650"/>
      <c r="E88" s="671">
        <f>SUM('1.Infrastructure Costs'!D15:N15)</f>
        <v>636540</v>
      </c>
      <c r="F88" s="1074">
        <f t="shared" si="11"/>
        <v>636540</v>
      </c>
      <c r="G88" s="10"/>
      <c r="H88" s="10"/>
      <c r="I88" s="21" t="s">
        <v>467</v>
      </c>
    </row>
    <row r="89" spans="1:14">
      <c r="A89" s="665" t="s">
        <v>445</v>
      </c>
      <c r="B89" s="650"/>
      <c r="C89" s="666"/>
      <c r="D89" s="650"/>
      <c r="E89" s="671">
        <f>SUM('1.Infrastructure Costs'!D16:N16)</f>
        <v>1751000</v>
      </c>
      <c r="F89" s="1074">
        <f t="shared" si="11"/>
        <v>1751000</v>
      </c>
      <c r="G89" s="10"/>
      <c r="H89" s="10"/>
      <c r="I89" s="1119" t="s">
        <v>468</v>
      </c>
      <c r="J89" s="1119"/>
      <c r="K89" s="1119"/>
      <c r="L89" s="1119"/>
      <c r="M89" s="1119"/>
      <c r="N89" s="1119"/>
    </row>
    <row r="90" spans="1:14" ht="15.75" thickBot="1">
      <c r="A90" s="958" t="s">
        <v>54</v>
      </c>
      <c r="B90" s="657"/>
      <c r="C90" s="673"/>
      <c r="D90" s="657"/>
      <c r="E90" s="767"/>
      <c r="F90" s="968">
        <f>SUM('1.Infrastructure Costs'!D9:N9)</f>
        <v>14727117.006872624</v>
      </c>
      <c r="G90" s="10"/>
      <c r="H90" s="10"/>
      <c r="I90" s="1119"/>
      <c r="J90" s="1119"/>
      <c r="K90" s="1119"/>
      <c r="L90" s="1119"/>
      <c r="M90" s="1119"/>
      <c r="N90" s="1119"/>
    </row>
    <row r="91" spans="1:14" ht="16.5" customHeight="1" thickBot="1">
      <c r="A91" s="674" t="s">
        <v>34</v>
      </c>
      <c r="B91" s="675"/>
      <c r="C91" s="675"/>
      <c r="D91" s="650"/>
      <c r="E91" s="676">
        <f>SUM(E85:E90)</f>
        <v>7846334</v>
      </c>
      <c r="F91" s="676">
        <f>SUM(F85:F90)</f>
        <v>22573451.006872624</v>
      </c>
      <c r="G91" s="10"/>
      <c r="H91" s="752"/>
      <c r="I91" s="1120" t="s">
        <v>469</v>
      </c>
      <c r="J91" s="1120"/>
      <c r="K91" s="1120"/>
      <c r="L91" s="1120"/>
      <c r="M91" s="1120"/>
      <c r="N91" s="1120"/>
    </row>
    <row r="92" spans="1:14" ht="16.149999999999999" customHeight="1" thickBot="1">
      <c r="A92" s="662" t="s">
        <v>3</v>
      </c>
      <c r="B92" s="677"/>
      <c r="C92" s="677"/>
      <c r="D92" s="945"/>
      <c r="E92" s="1017"/>
      <c r="F92" s="680">
        <f>SUM(F72:F83,F91)+E91-SUM(F85:F89)</f>
        <v>1365757824.0226424</v>
      </c>
      <c r="I92" s="1120"/>
      <c r="J92" s="1120"/>
      <c r="K92" s="1120"/>
      <c r="L92" s="1120"/>
      <c r="M92" s="1120"/>
      <c r="N92" s="1120"/>
    </row>
    <row r="93" spans="1:14" ht="16.5" customHeight="1" thickBot="1">
      <c r="D93" s="15"/>
      <c r="E93" s="27"/>
      <c r="G93" s="944"/>
      <c r="I93" s="955" t="s">
        <v>470</v>
      </c>
    </row>
    <row r="94" spans="1:14" ht="16.5" customHeight="1" thickBot="1">
      <c r="A94" s="1013" t="s">
        <v>275</v>
      </c>
      <c r="B94" s="1014"/>
      <c r="C94" s="1014"/>
      <c r="D94" s="1014"/>
      <c r="E94" s="1014"/>
      <c r="F94" s="1015"/>
      <c r="I94" s="21" t="s">
        <v>471</v>
      </c>
    </row>
    <row r="95" spans="1:14" ht="15.6" customHeight="1" thickBot="1">
      <c r="A95" s="759"/>
      <c r="B95" s="754"/>
      <c r="C95" s="760" t="s">
        <v>142</v>
      </c>
      <c r="D95" s="760" t="s">
        <v>143</v>
      </c>
      <c r="E95" s="760" t="s">
        <v>144</v>
      </c>
      <c r="F95" s="761" t="s">
        <v>32</v>
      </c>
    </row>
    <row r="96" spans="1:14" ht="19.5" thickBot="1">
      <c r="A96" s="762" t="s">
        <v>145</v>
      </c>
      <c r="B96" s="750"/>
      <c r="C96" s="763" t="s">
        <v>276</v>
      </c>
      <c r="D96" s="763" t="s">
        <v>277</v>
      </c>
      <c r="E96" s="763" t="s">
        <v>278</v>
      </c>
      <c r="F96" s="764" t="s">
        <v>283</v>
      </c>
      <c r="I96" s="1013" t="s">
        <v>285</v>
      </c>
      <c r="J96" s="1014"/>
      <c r="K96" s="1014"/>
      <c r="L96" s="1014"/>
      <c r="M96" s="1014"/>
      <c r="N96" s="1015"/>
    </row>
    <row r="97" spans="1:14" ht="15" customHeight="1">
      <c r="A97" s="665" t="s">
        <v>280</v>
      </c>
      <c r="B97" s="10"/>
      <c r="C97" s="1020">
        <f>194.05</f>
        <v>194.05</v>
      </c>
      <c r="D97" s="770">
        <f>C97*0.2</f>
        <v>38.81</v>
      </c>
      <c r="E97" s="771">
        <f t="shared" ref="E97:E102" si="12">C97*0.04</f>
        <v>7.7620000000000005</v>
      </c>
      <c r="F97" s="768">
        <f t="shared" ref="F97:F104" si="13">SUM(C97:E97)</f>
        <v>240.62200000000001</v>
      </c>
      <c r="I97" s="753"/>
      <c r="J97" s="754"/>
      <c r="K97" s="755" t="s">
        <v>287</v>
      </c>
      <c r="L97" s="753"/>
      <c r="M97" s="754"/>
      <c r="N97" s="778"/>
    </row>
    <row r="98" spans="1:14" ht="19.5" thickBot="1">
      <c r="A98" s="36" t="s">
        <v>279</v>
      </c>
      <c r="B98" s="10"/>
      <c r="C98" s="771">
        <f>172.2*1.03</f>
        <v>177.36599999999999</v>
      </c>
      <c r="D98" s="770">
        <f t="shared" ref="D98:D104" si="14">C98*0.2</f>
        <v>35.473199999999999</v>
      </c>
      <c r="E98" s="771">
        <f t="shared" si="12"/>
        <v>7.0946399999999992</v>
      </c>
      <c r="F98" s="769">
        <f t="shared" si="13"/>
        <v>219.93383999999998</v>
      </c>
      <c r="I98" s="37" t="s">
        <v>286</v>
      </c>
      <c r="J98" s="750"/>
      <c r="K98" s="777" t="s">
        <v>288</v>
      </c>
      <c r="L98" s="831" t="s">
        <v>289</v>
      </c>
      <c r="M98" s="818"/>
      <c r="N98" s="819"/>
    </row>
    <row r="99" spans="1:14">
      <c r="A99" s="36" t="s">
        <v>281</v>
      </c>
      <c r="B99" s="10"/>
      <c r="C99" s="771">
        <f>156.87*1.03</f>
        <v>161.5761</v>
      </c>
      <c r="D99" s="770">
        <f t="shared" si="14"/>
        <v>32.315220000000004</v>
      </c>
      <c r="E99" s="771">
        <f t="shared" si="12"/>
        <v>6.463044</v>
      </c>
      <c r="F99" s="769">
        <f t="shared" si="13"/>
        <v>200.354364</v>
      </c>
      <c r="I99" s="753" t="s">
        <v>399</v>
      </c>
      <c r="J99" s="754"/>
      <c r="K99" s="1016">
        <f>3.03*1.03</f>
        <v>3.1208999999999998</v>
      </c>
      <c r="L99" s="1080" t="s">
        <v>313</v>
      </c>
      <c r="M99" s="1081"/>
      <c r="N99" s="1082"/>
    </row>
    <row r="100" spans="1:14" ht="15.75" thickBot="1">
      <c r="A100" s="959" t="s">
        <v>282</v>
      </c>
      <c r="B100" s="10"/>
      <c r="C100" s="771">
        <f>250.47*1.03</f>
        <v>257.98410000000001</v>
      </c>
      <c r="D100" s="770">
        <f t="shared" si="14"/>
        <v>51.596820000000008</v>
      </c>
      <c r="E100" s="771">
        <f t="shared" si="12"/>
        <v>10.319364</v>
      </c>
      <c r="F100" s="769">
        <f t="shared" si="13"/>
        <v>319.900284</v>
      </c>
      <c r="I100" s="767"/>
      <c r="J100" s="750"/>
      <c r="K100" s="750"/>
      <c r="L100" s="1083"/>
      <c r="M100" s="1084"/>
      <c r="N100" s="1085"/>
    </row>
    <row r="101" spans="1:14" ht="15.75" thickBot="1">
      <c r="A101" s="959" t="s">
        <v>95</v>
      </c>
      <c r="B101" s="10"/>
      <c r="C101" s="771">
        <f>124.18*1.03</f>
        <v>127.90540000000001</v>
      </c>
      <c r="D101" s="770">
        <f t="shared" si="14"/>
        <v>25.581080000000004</v>
      </c>
      <c r="E101" s="771">
        <f t="shared" si="12"/>
        <v>5.1162160000000005</v>
      </c>
      <c r="F101" s="769">
        <f t="shared" si="13"/>
        <v>158.60269600000004</v>
      </c>
      <c r="I101" s="33" t="s">
        <v>290</v>
      </c>
      <c r="J101" s="16"/>
      <c r="K101" s="1018">
        <v>5.8999999999999997E-2</v>
      </c>
      <c r="L101" s="33" t="s">
        <v>314</v>
      </c>
      <c r="M101" s="16"/>
      <c r="N101" s="781"/>
    </row>
    <row r="102" spans="1:14" ht="15" customHeight="1" thickBot="1">
      <c r="A102" s="959" t="s">
        <v>49</v>
      </c>
      <c r="B102" s="10"/>
      <c r="C102" s="771">
        <f>202.59*1.03</f>
        <v>208.6677</v>
      </c>
      <c r="D102" s="770">
        <f t="shared" si="14"/>
        <v>41.733540000000005</v>
      </c>
      <c r="E102" s="771">
        <f t="shared" si="12"/>
        <v>8.3467079999999996</v>
      </c>
      <c r="F102" s="769">
        <f t="shared" si="13"/>
        <v>258.74794800000001</v>
      </c>
      <c r="I102" s="953" t="s">
        <v>398</v>
      </c>
      <c r="J102" s="16"/>
      <c r="K102" s="1019">
        <f>1.36</f>
        <v>1.36</v>
      </c>
      <c r="L102" s="950" t="s">
        <v>432</v>
      </c>
      <c r="M102" s="754"/>
      <c r="N102" s="778"/>
    </row>
    <row r="103" spans="1:14">
      <c r="A103" s="959" t="s">
        <v>50</v>
      </c>
      <c r="B103" s="10"/>
      <c r="C103" s="771">
        <f>37.5*1.03</f>
        <v>38.625</v>
      </c>
      <c r="D103" s="770">
        <f t="shared" si="14"/>
        <v>7.7250000000000005</v>
      </c>
      <c r="E103" s="771">
        <f>C103*0.04</f>
        <v>1.5449999999999999</v>
      </c>
      <c r="F103" s="769">
        <f t="shared" si="13"/>
        <v>47.895000000000003</v>
      </c>
      <c r="I103" s="753" t="s">
        <v>291</v>
      </c>
      <c r="J103" s="754"/>
      <c r="K103" s="1016">
        <f>437*1.03^2</f>
        <v>463.61329999999998</v>
      </c>
      <c r="L103" s="1086" t="s">
        <v>315</v>
      </c>
      <c r="M103" s="1078"/>
      <c r="N103" s="1087"/>
    </row>
    <row r="104" spans="1:14" ht="15" customHeight="1" thickBot="1">
      <c r="A104" s="975" t="s">
        <v>443</v>
      </c>
      <c r="B104" s="750"/>
      <c r="C104" s="774">
        <f>121.65*1.03</f>
        <v>125.29950000000001</v>
      </c>
      <c r="D104" s="773">
        <f t="shared" si="14"/>
        <v>25.059900000000003</v>
      </c>
      <c r="E104" s="774">
        <f>C104*0.04</f>
        <v>5.0119800000000003</v>
      </c>
      <c r="F104" s="775">
        <f t="shared" si="13"/>
        <v>155.37138000000002</v>
      </c>
      <c r="I104" s="36"/>
      <c r="J104" s="10"/>
      <c r="K104" s="10"/>
      <c r="L104" s="1088"/>
      <c r="M104" s="1079"/>
      <c r="N104" s="1089"/>
    </row>
    <row r="105" spans="1:14" ht="15.75" thickBot="1">
      <c r="A105" s="776" t="s">
        <v>318</v>
      </c>
      <c r="I105" s="767"/>
      <c r="J105" s="750"/>
      <c r="K105" s="750"/>
      <c r="L105" s="1090"/>
      <c r="M105" s="1091"/>
      <c r="N105" s="1092"/>
    </row>
    <row r="106" spans="1:14" ht="15.75" thickBot="1">
      <c r="A106" s="21" t="s">
        <v>429</v>
      </c>
      <c r="I106" s="33" t="s">
        <v>412</v>
      </c>
      <c r="J106" s="16"/>
      <c r="K106" s="1021">
        <v>251.35</v>
      </c>
      <c r="L106" s="27" t="s">
        <v>433</v>
      </c>
    </row>
    <row r="107" spans="1:14">
      <c r="A107" s="21" t="s">
        <v>284</v>
      </c>
      <c r="I107" s="753" t="s">
        <v>292</v>
      </c>
      <c r="J107" s="754"/>
      <c r="K107" s="1016">
        <f>21.46*1.03^3</f>
        <v>23.449921420000003</v>
      </c>
      <c r="L107" s="1086" t="s">
        <v>316</v>
      </c>
      <c r="M107" s="1078"/>
      <c r="N107" s="1087"/>
    </row>
    <row r="108" spans="1:14" ht="15.75" thickBot="1">
      <c r="A108" s="784" t="s">
        <v>305</v>
      </c>
      <c r="B108" s="784"/>
      <c r="C108" s="784"/>
      <c r="D108" s="784"/>
      <c r="E108" s="784"/>
      <c r="F108" s="784"/>
      <c r="I108" s="767"/>
      <c r="J108" s="750"/>
      <c r="K108" s="750"/>
      <c r="L108" s="1090"/>
      <c r="M108" s="1091"/>
      <c r="N108" s="1092"/>
    </row>
    <row r="109" spans="1:14" ht="15.75" thickBot="1">
      <c r="A109" s="21" t="s">
        <v>304</v>
      </c>
      <c r="I109" s="33" t="s">
        <v>217</v>
      </c>
      <c r="J109" s="16"/>
      <c r="K109" s="1022">
        <v>0.115</v>
      </c>
      <c r="L109" s="33" t="s">
        <v>317</v>
      </c>
      <c r="M109" s="16"/>
      <c r="N109" s="781"/>
    </row>
    <row r="110" spans="1:14" ht="15.75" thickBot="1">
      <c r="I110" s="753" t="s">
        <v>293</v>
      </c>
      <c r="J110" s="754"/>
      <c r="K110" s="1023">
        <v>20</v>
      </c>
      <c r="L110" s="1093" t="s">
        <v>405</v>
      </c>
      <c r="M110" s="1094"/>
      <c r="N110" s="1095"/>
    </row>
    <row r="111" spans="1:14" ht="16.5" thickBot="1">
      <c r="B111" s="1075" t="s">
        <v>236</v>
      </c>
      <c r="C111" s="1076"/>
      <c r="D111" s="1076"/>
      <c r="E111" s="1076"/>
      <c r="F111" s="1077"/>
      <c r="I111" s="36" t="s">
        <v>294</v>
      </c>
      <c r="J111" s="10"/>
      <c r="K111" s="1024">
        <v>30</v>
      </c>
      <c r="L111" s="1096"/>
      <c r="M111" s="1097"/>
      <c r="N111" s="1098"/>
    </row>
    <row r="112" spans="1:14" ht="15.75">
      <c r="B112" s="786"/>
      <c r="C112" s="760" t="s">
        <v>453</v>
      </c>
      <c r="D112" s="760" t="s">
        <v>224</v>
      </c>
      <c r="E112" s="787" t="s">
        <v>225</v>
      </c>
      <c r="F112" s="761" t="s">
        <v>200</v>
      </c>
      <c r="I112" s="36" t="s">
        <v>295</v>
      </c>
      <c r="J112" s="10"/>
      <c r="K112" s="1024">
        <v>15</v>
      </c>
      <c r="L112" s="1096"/>
      <c r="M112" s="1097"/>
      <c r="N112" s="1098"/>
    </row>
    <row r="113" spans="2:14" ht="15" customHeight="1" thickBot="1">
      <c r="B113" s="762" t="s">
        <v>221</v>
      </c>
      <c r="C113" s="763" t="s">
        <v>223</v>
      </c>
      <c r="D113" s="763" t="s">
        <v>200</v>
      </c>
      <c r="E113" s="788" t="s">
        <v>109</v>
      </c>
      <c r="F113" s="764" t="s">
        <v>204</v>
      </c>
      <c r="G113" s="916"/>
      <c r="I113" s="767" t="s">
        <v>218</v>
      </c>
      <c r="J113" s="750"/>
      <c r="K113" s="1025">
        <v>0.05</v>
      </c>
      <c r="L113" s="1099"/>
      <c r="M113" s="1100"/>
      <c r="N113" s="1101"/>
    </row>
    <row r="114" spans="2:14" ht="15.75">
      <c r="B114" s="789" t="s">
        <v>226</v>
      </c>
      <c r="C114" s="790" t="s">
        <v>223</v>
      </c>
      <c r="D114" s="919">
        <f>'Land Values'!D8</f>
        <v>112875000</v>
      </c>
      <c r="E114" s="1035">
        <v>936540</v>
      </c>
      <c r="F114" s="793">
        <f>D114/E114</f>
        <v>120.52341597796143</v>
      </c>
      <c r="G114" s="917"/>
      <c r="I114" s="753" t="s">
        <v>296</v>
      </c>
      <c r="J114" s="754"/>
      <c r="K114" s="1016">
        <f>110*1.03^2</f>
        <v>116.699</v>
      </c>
      <c r="L114" s="1102" t="s">
        <v>448</v>
      </c>
      <c r="M114" s="1103"/>
      <c r="N114" s="1104"/>
    </row>
    <row r="115" spans="2:14" ht="15.75">
      <c r="B115" s="789" t="s">
        <v>227</v>
      </c>
      <c r="C115" s="790" t="s">
        <v>452</v>
      </c>
      <c r="D115" s="920">
        <f>'Land Values'!D12</f>
        <v>14175000</v>
      </c>
      <c r="E115" s="1035">
        <v>117612</v>
      </c>
      <c r="F115" s="795">
        <f t="shared" ref="F115" si="15">D115/E115</f>
        <v>120.52341597796143</v>
      </c>
      <c r="G115" s="917"/>
      <c r="I115" s="36" t="s">
        <v>297</v>
      </c>
      <c r="J115" s="10"/>
      <c r="K115" s="1026">
        <v>0.67</v>
      </c>
      <c r="L115" s="1105"/>
      <c r="M115" s="1106"/>
      <c r="N115" s="1107"/>
    </row>
    <row r="116" spans="2:14" ht="15.75" thickBot="1">
      <c r="B116" s="789" t="s">
        <v>228</v>
      </c>
      <c r="C116" s="790" t="s">
        <v>452</v>
      </c>
      <c r="D116" s="920">
        <f>'Land Values'!D16</f>
        <v>34125000</v>
      </c>
      <c r="E116" s="1035">
        <v>283140</v>
      </c>
      <c r="F116" s="795">
        <f>D116/E116</f>
        <v>120.52341597796143</v>
      </c>
      <c r="G116" s="919"/>
      <c r="I116" s="767" t="s">
        <v>298</v>
      </c>
      <c r="J116" s="750"/>
      <c r="K116" s="1027">
        <v>0.35</v>
      </c>
      <c r="L116" s="1108"/>
      <c r="M116" s="1109"/>
      <c r="N116" s="1110"/>
    </row>
    <row r="117" spans="2:14">
      <c r="B117" s="789" t="s">
        <v>465</v>
      </c>
      <c r="C117" s="790" t="s">
        <v>223</v>
      </c>
      <c r="D117" s="920">
        <f>'Land Values'!D21</f>
        <v>51473913.050964192</v>
      </c>
      <c r="E117" s="1035">
        <f>'Land Values'!E21</f>
        <v>414647</v>
      </c>
      <c r="F117" s="795">
        <f>D117/E117</f>
        <v>124.13911845730028</v>
      </c>
      <c r="G117" s="920"/>
      <c r="I117" s="753" t="s">
        <v>328</v>
      </c>
      <c r="J117" s="754"/>
      <c r="K117" s="1028">
        <f>7*1.03^3</f>
        <v>7.649089</v>
      </c>
      <c r="L117" s="753" t="s">
        <v>404</v>
      </c>
      <c r="M117" s="754"/>
      <c r="N117" s="778"/>
    </row>
    <row r="118" spans="2:14" ht="16.5" thickBot="1">
      <c r="B118" s="762" t="s">
        <v>32</v>
      </c>
      <c r="C118" s="796"/>
      <c r="D118" s="797">
        <f>SUM(D114:D117)</f>
        <v>212648913.05096418</v>
      </c>
      <c r="E118" s="798">
        <f>SUM(E114:E117)</f>
        <v>1751939</v>
      </c>
      <c r="F118" s="800">
        <f>K142/E118</f>
        <v>0</v>
      </c>
      <c r="G118" s="920"/>
      <c r="I118" s="767" t="s">
        <v>219</v>
      </c>
      <c r="J118" s="750"/>
      <c r="K118" s="1029">
        <v>7.0000000000000007E-2</v>
      </c>
      <c r="L118" s="767"/>
      <c r="M118" s="750"/>
      <c r="N118" s="847"/>
    </row>
    <row r="119" spans="2:14">
      <c r="B119" s="902" t="s">
        <v>395</v>
      </c>
      <c r="C119" s="903"/>
      <c r="D119" s="1036"/>
      <c r="E119" s="1037"/>
      <c r="F119" s="1037"/>
      <c r="G119" s="920"/>
      <c r="I119" s="753" t="s">
        <v>400</v>
      </c>
      <c r="J119" s="754"/>
      <c r="K119" s="1030">
        <v>215</v>
      </c>
      <c r="L119" s="36" t="s">
        <v>401</v>
      </c>
      <c r="M119" s="10"/>
      <c r="N119" s="926"/>
    </row>
    <row r="120" spans="2:14" ht="16.5" thickBot="1">
      <c r="B120" s="902" t="s">
        <v>397</v>
      </c>
      <c r="C120" s="903"/>
      <c r="D120" s="1036"/>
      <c r="E120" s="1037"/>
      <c r="F120" s="1037"/>
      <c r="G120" s="918"/>
      <c r="H120" s="916"/>
      <c r="I120" s="767" t="s">
        <v>402</v>
      </c>
      <c r="J120" s="750"/>
      <c r="K120" s="1031">
        <v>4</v>
      </c>
      <c r="L120" s="36"/>
      <c r="M120" s="10"/>
      <c r="N120" s="926"/>
    </row>
    <row r="121" spans="2:14" ht="16.5" thickBot="1">
      <c r="B121" s="39"/>
      <c r="C121" s="61"/>
      <c r="D121" s="1038"/>
      <c r="E121" s="1039"/>
      <c r="F121" s="1039"/>
      <c r="G121" s="802"/>
      <c r="H121" s="917"/>
      <c r="I121" s="753" t="s">
        <v>299</v>
      </c>
      <c r="J121" s="754"/>
      <c r="K121" s="1032">
        <v>0.06</v>
      </c>
      <c r="L121" s="1111" t="s">
        <v>447</v>
      </c>
      <c r="M121" s="1112"/>
      <c r="N121" s="1113"/>
    </row>
    <row r="122" spans="2:14" ht="16.5" thickBot="1">
      <c r="B122" s="1040" t="s">
        <v>230</v>
      </c>
      <c r="C122" s="1041"/>
      <c r="D122" s="1042"/>
      <c r="E122" s="1043"/>
      <c r="F122" s="1044"/>
      <c r="G122" s="802"/>
      <c r="H122" s="917"/>
      <c r="I122" s="36" t="s">
        <v>300</v>
      </c>
      <c r="J122" s="10"/>
      <c r="K122" s="1033">
        <v>6.2E-2</v>
      </c>
      <c r="L122" s="1114"/>
      <c r="M122" s="1115"/>
      <c r="N122" s="1116"/>
    </row>
    <row r="123" spans="2:14">
      <c r="B123" s="906" t="s">
        <v>455</v>
      </c>
      <c r="C123" s="907"/>
      <c r="D123" s="1045"/>
      <c r="E123" s="1046"/>
      <c r="F123" s="1047">
        <f>SUM(E114,E117)</f>
        <v>1351187</v>
      </c>
      <c r="G123" s="1038"/>
      <c r="H123" s="919"/>
      <c r="I123" s="36" t="s">
        <v>301</v>
      </c>
      <c r="J123" s="10"/>
      <c r="K123" s="1033">
        <v>6.2E-2</v>
      </c>
      <c r="L123" s="1114"/>
      <c r="M123" s="1115"/>
      <c r="N123" s="1116"/>
    </row>
    <row r="124" spans="2:14">
      <c r="B124" s="808" t="s">
        <v>320</v>
      </c>
      <c r="C124" s="809"/>
      <c r="D124" s="809"/>
      <c r="E124" s="809"/>
      <c r="F124" s="1048">
        <v>0</v>
      </c>
      <c r="H124" s="920"/>
      <c r="I124" s="36" t="s">
        <v>302</v>
      </c>
      <c r="J124" s="10"/>
      <c r="K124" s="1033">
        <v>0.08</v>
      </c>
      <c r="L124" s="1114"/>
      <c r="M124" s="1115"/>
      <c r="N124" s="1116"/>
    </row>
    <row r="125" spans="2:14" ht="15.75">
      <c r="B125" s="811" t="s">
        <v>232</v>
      </c>
      <c r="C125" s="812"/>
      <c r="D125" s="812"/>
      <c r="E125" s="812"/>
      <c r="F125" s="813">
        <f>SUM(F123:F124)</f>
        <v>1351187</v>
      </c>
      <c r="H125" s="920"/>
      <c r="I125" s="36" t="s">
        <v>327</v>
      </c>
      <c r="J125" s="10"/>
      <c r="K125" s="1033">
        <v>6.9000000000000006E-2</v>
      </c>
      <c r="L125" s="833"/>
      <c r="M125" s="834"/>
      <c r="N125" s="835"/>
    </row>
    <row r="126" spans="2:14" ht="15.75" thickBot="1">
      <c r="B126" s="808" t="s">
        <v>456</v>
      </c>
      <c r="C126" s="809"/>
      <c r="D126" s="809"/>
      <c r="E126" s="817" t="s">
        <v>233</v>
      </c>
      <c r="F126" s="1049">
        <v>1.25</v>
      </c>
      <c r="H126" s="920"/>
      <c r="I126" s="767" t="s">
        <v>303</v>
      </c>
      <c r="J126" s="750"/>
      <c r="K126" s="1034">
        <v>0.11</v>
      </c>
      <c r="L126" s="767"/>
      <c r="M126" s="750"/>
      <c r="N126" s="847"/>
    </row>
    <row r="127" spans="2:14" ht="19.5" thickBot="1">
      <c r="B127" s="762" t="s">
        <v>306</v>
      </c>
      <c r="C127" s="815"/>
      <c r="D127" s="815"/>
      <c r="E127" s="815"/>
      <c r="F127" s="799">
        <f>F125*F126</f>
        <v>1688983.75</v>
      </c>
      <c r="H127" s="918"/>
      <c r="I127" s="1078" t="s">
        <v>310</v>
      </c>
      <c r="J127" s="1078"/>
      <c r="K127" s="1078"/>
      <c r="L127" s="1078"/>
      <c r="M127" s="1078"/>
      <c r="N127" s="1078"/>
    </row>
    <row r="128" spans="2:14">
      <c r="B128" s="776" t="s">
        <v>403</v>
      </c>
      <c r="C128" s="776"/>
      <c r="D128" s="776"/>
      <c r="E128" s="776"/>
      <c r="F128" s="776"/>
      <c r="H128" s="802"/>
      <c r="I128" s="1079"/>
      <c r="J128" s="1079"/>
      <c r="K128" s="1079"/>
      <c r="L128" s="1079"/>
      <c r="M128" s="1079"/>
      <c r="N128" s="1079"/>
    </row>
    <row r="129" spans="7:13">
      <c r="H129" s="802"/>
    </row>
    <row r="130" spans="7:13">
      <c r="G130" s="39"/>
      <c r="H130" s="1038"/>
    </row>
    <row r="131" spans="7:13">
      <c r="H131" s="1038"/>
    </row>
    <row r="132" spans="7:13">
      <c r="H132" s="1038"/>
    </row>
    <row r="133" spans="7:13">
      <c r="H133" s="39"/>
    </row>
    <row r="134" spans="7:13">
      <c r="H134" s="39"/>
      <c r="I134" s="916"/>
      <c r="J134" s="916"/>
      <c r="K134" s="916"/>
      <c r="L134" s="916"/>
      <c r="M134" s="10"/>
    </row>
    <row r="135" spans="7:13" ht="15.75">
      <c r="H135" s="39"/>
      <c r="I135" s="917"/>
      <c r="J135" s="917"/>
      <c r="K135" s="917"/>
      <c r="L135" s="10"/>
    </row>
    <row r="136" spans="7:13" ht="15.75">
      <c r="H136" s="39"/>
      <c r="I136" s="917"/>
      <c r="J136" s="917"/>
      <c r="K136" s="917"/>
      <c r="L136" s="10"/>
    </row>
    <row r="137" spans="7:13">
      <c r="H137" s="39"/>
      <c r="I137" s="919"/>
      <c r="J137" s="919"/>
      <c r="K137" s="919"/>
      <c r="L137" s="10"/>
    </row>
    <row r="138" spans="7:13">
      <c r="I138" s="920"/>
      <c r="J138" s="920"/>
      <c r="K138" s="920"/>
      <c r="L138" s="10"/>
    </row>
    <row r="139" spans="7:13">
      <c r="I139" s="920"/>
      <c r="J139" s="920"/>
      <c r="K139" s="920"/>
      <c r="L139" s="10"/>
    </row>
    <row r="140" spans="7:13">
      <c r="I140" s="920"/>
      <c r="J140" s="920"/>
      <c r="K140" s="920"/>
      <c r="L140" s="10"/>
    </row>
    <row r="141" spans="7:13">
      <c r="I141" s="920"/>
      <c r="J141" s="920"/>
      <c r="K141" s="920"/>
      <c r="L141" s="10"/>
    </row>
    <row r="142" spans="7:13" ht="15.75">
      <c r="I142" s="918"/>
      <c r="J142" s="918"/>
      <c r="K142" s="918"/>
      <c r="L142" s="10"/>
    </row>
    <row r="143" spans="7:13">
      <c r="I143" s="802"/>
      <c r="J143" s="802"/>
      <c r="K143" s="802"/>
      <c r="L143" s="803"/>
    </row>
    <row r="144" spans="7:13">
      <c r="I144" s="802"/>
      <c r="J144" s="802"/>
      <c r="K144" s="802"/>
      <c r="L144" s="803"/>
    </row>
    <row r="145" spans="9:12">
      <c r="I145" s="1038"/>
      <c r="J145" s="1038"/>
      <c r="K145" s="1038"/>
      <c r="L145" s="1050"/>
    </row>
    <row r="146" spans="9:12">
      <c r="I146" s="1038"/>
      <c r="J146" s="1038"/>
      <c r="K146" s="1038"/>
      <c r="L146" s="1050"/>
    </row>
    <row r="147" spans="9:12">
      <c r="I147" s="1038"/>
      <c r="J147" s="1038"/>
      <c r="K147" s="1038"/>
      <c r="L147" s="1050"/>
    </row>
    <row r="148" spans="9:12">
      <c r="I148" s="39"/>
      <c r="J148" s="39"/>
      <c r="K148" s="39"/>
      <c r="L148" s="39"/>
    </row>
    <row r="149" spans="9:12">
      <c r="I149" s="39"/>
      <c r="J149" s="39"/>
      <c r="K149" s="39"/>
      <c r="L149" s="39"/>
    </row>
    <row r="150" spans="9:12">
      <c r="I150" s="39"/>
      <c r="J150" s="39"/>
      <c r="K150" s="39"/>
      <c r="L150" s="39"/>
    </row>
    <row r="151" spans="9:12">
      <c r="I151" s="39"/>
      <c r="J151" s="39"/>
      <c r="K151" s="39"/>
      <c r="L151" s="39"/>
    </row>
    <row r="152" spans="9:12">
      <c r="I152" s="39"/>
      <c r="J152" s="39"/>
      <c r="K152" s="39"/>
      <c r="L152" s="39"/>
    </row>
  </sheetData>
  <mergeCells count="11">
    <mergeCell ref="L107:N108"/>
    <mergeCell ref="I86:N87"/>
    <mergeCell ref="I89:N90"/>
    <mergeCell ref="I91:N92"/>
    <mergeCell ref="L99:N100"/>
    <mergeCell ref="L103:N105"/>
    <mergeCell ref="L110:N113"/>
    <mergeCell ref="B111:F111"/>
    <mergeCell ref="L114:N116"/>
    <mergeCell ref="L121:N124"/>
    <mergeCell ref="I127:N128"/>
  </mergeCells>
  <pageMargins left="0.19791666666666699" right="0.25" top="0.75" bottom="0.75" header="0.3" footer="0.3"/>
  <pageSetup paperSize="17" scale="32" orientation="portrait" r:id="rId1"/>
  <headerFooter alignWithMargins="0">
    <oddHeader xml:space="preserve">&amp;L&amp;"Arial,Bold"2013 ULI Hines Student Urban Design Competition&amp;RTeam &amp;A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3" zoomScale="85" zoomScaleNormal="85" workbookViewId="0">
      <selection activeCell="D20" sqref="D20"/>
    </sheetView>
  </sheetViews>
  <sheetFormatPr defaultColWidth="9.140625" defaultRowHeight="12.75"/>
  <cols>
    <col min="1" max="1" width="16" style="39" customWidth="1"/>
    <col min="2" max="2" width="13.140625" style="39" bestFit="1" customWidth="1"/>
    <col min="3" max="3" width="22.140625" style="39" bestFit="1" customWidth="1"/>
    <col min="4" max="4" width="16.28515625" style="39" bestFit="1" customWidth="1"/>
    <col min="5" max="5" width="10.85546875" style="39" bestFit="1" customWidth="1"/>
    <col min="6" max="6" width="16.5703125" style="39" bestFit="1" customWidth="1"/>
    <col min="7" max="7" width="11.5703125" style="39" bestFit="1" customWidth="1"/>
    <col min="8" max="16384" width="9.140625" style="39"/>
  </cols>
  <sheetData>
    <row r="1" spans="1:10" s="426" customFormat="1">
      <c r="A1" s="54" t="s">
        <v>83</v>
      </c>
      <c r="B1" s="55"/>
      <c r="C1" s="55"/>
      <c r="D1" s="55"/>
      <c r="E1" s="501"/>
      <c r="F1" s="501"/>
      <c r="G1" s="449"/>
      <c r="H1" s="39"/>
      <c r="I1" s="39"/>
      <c r="J1" s="39"/>
    </row>
    <row r="2" spans="1:10" s="426" customFormat="1" ht="13.5" thickBot="1">
      <c r="A2" s="57" t="s">
        <v>195</v>
      </c>
      <c r="B2" s="58"/>
      <c r="C2" s="58"/>
      <c r="D2" s="58"/>
      <c r="E2" s="502"/>
      <c r="F2" s="502"/>
      <c r="G2" s="450"/>
      <c r="H2" s="39"/>
      <c r="I2" s="39"/>
      <c r="J2" s="39"/>
    </row>
    <row r="3" spans="1:10" s="426" customFormat="1">
      <c r="A3" s="503"/>
      <c r="B3" s="433" t="s">
        <v>196</v>
      </c>
      <c r="C3" s="433" t="s">
        <v>197</v>
      </c>
      <c r="D3" s="521" t="s">
        <v>198</v>
      </c>
      <c r="E3" s="504" t="s">
        <v>32</v>
      </c>
      <c r="F3" s="434" t="s">
        <v>32</v>
      </c>
      <c r="G3" s="504" t="s">
        <v>200</v>
      </c>
      <c r="H3" s="39"/>
      <c r="I3" s="39"/>
      <c r="J3" s="39"/>
    </row>
    <row r="4" spans="1:10" s="426" customFormat="1" ht="13.5" thickBot="1">
      <c r="A4" s="495" t="s">
        <v>201</v>
      </c>
      <c r="B4" s="152" t="s">
        <v>202</v>
      </c>
      <c r="C4" s="152" t="s">
        <v>203</v>
      </c>
      <c r="D4" s="522" t="s">
        <v>200</v>
      </c>
      <c r="E4" s="199" t="s">
        <v>109</v>
      </c>
      <c r="F4" s="435" t="s">
        <v>200</v>
      </c>
      <c r="G4" s="199" t="s">
        <v>204</v>
      </c>
      <c r="H4" s="39"/>
      <c r="I4" s="39"/>
      <c r="J4" s="39"/>
    </row>
    <row r="5" spans="1:10" s="426" customFormat="1" ht="4.5" customHeight="1">
      <c r="A5" s="67"/>
      <c r="B5" s="77"/>
      <c r="C5" s="77"/>
      <c r="D5" s="67"/>
      <c r="E5" s="122"/>
      <c r="F5" s="516"/>
      <c r="G5" s="122"/>
      <c r="H5" s="39"/>
      <c r="I5" s="39"/>
      <c r="J5" s="39"/>
    </row>
    <row r="6" spans="1:10" s="426" customFormat="1">
      <c r="A6" s="66" t="s">
        <v>205</v>
      </c>
      <c r="B6" s="505"/>
      <c r="C6" s="505"/>
      <c r="D6" s="66"/>
      <c r="E6" s="122"/>
      <c r="F6" s="516"/>
      <c r="G6" s="122"/>
      <c r="H6" s="39"/>
      <c r="I6" s="39"/>
      <c r="J6" s="39"/>
    </row>
    <row r="7" spans="1:10" s="426" customFormat="1">
      <c r="A7" s="67"/>
      <c r="B7" s="68"/>
      <c r="C7" s="68"/>
      <c r="D7" s="524">
        <v>112875000</v>
      </c>
      <c r="E7" s="293">
        <v>936540</v>
      </c>
      <c r="F7" s="517">
        <f>D7</f>
        <v>112875000</v>
      </c>
      <c r="G7" s="451">
        <f>F7/E7</f>
        <v>120.52341597796143</v>
      </c>
      <c r="H7" s="39"/>
      <c r="I7" s="39"/>
      <c r="J7" s="39"/>
    </row>
    <row r="8" spans="1:10" s="426" customFormat="1" ht="13.5" thickBot="1">
      <c r="A8" s="506" t="s">
        <v>207</v>
      </c>
      <c r="B8" s="129"/>
      <c r="C8" s="129"/>
      <c r="D8" s="162">
        <f>SUM(D7:D7)</f>
        <v>112875000</v>
      </c>
      <c r="E8" s="525">
        <f>SUM(E7:E7)</f>
        <v>936540</v>
      </c>
      <c r="F8" s="518">
        <f>SUM(F7:F7)</f>
        <v>112875000</v>
      </c>
      <c r="G8" s="507">
        <f>F8/E8</f>
        <v>120.52341597796143</v>
      </c>
      <c r="H8" s="39"/>
      <c r="I8" s="39"/>
      <c r="J8" s="39"/>
    </row>
    <row r="9" spans="1:10" s="426" customFormat="1" ht="4.5" customHeight="1">
      <c r="A9" s="67"/>
      <c r="B9" s="77"/>
      <c r="C9" s="77"/>
      <c r="D9" s="67"/>
      <c r="E9" s="122"/>
      <c r="F9" s="516"/>
      <c r="G9" s="122"/>
      <c r="H9" s="39"/>
      <c r="I9" s="39"/>
      <c r="J9" s="39"/>
    </row>
    <row r="10" spans="1:10" s="426" customFormat="1">
      <c r="A10" s="66" t="s">
        <v>208</v>
      </c>
      <c r="B10" s="505"/>
      <c r="C10" s="505"/>
      <c r="D10" s="66"/>
      <c r="E10" s="122"/>
      <c r="F10" s="516"/>
      <c r="G10" s="122"/>
      <c r="H10" s="39"/>
      <c r="I10" s="39"/>
      <c r="J10" s="39"/>
    </row>
    <row r="11" spans="1:10" s="426" customFormat="1">
      <c r="A11" s="67" t="s">
        <v>206</v>
      </c>
      <c r="B11" s="68"/>
      <c r="C11" s="68"/>
      <c r="D11" s="524">
        <v>14175000</v>
      </c>
      <c r="E11" s="293">
        <v>117612</v>
      </c>
      <c r="F11" s="517">
        <f>D11</f>
        <v>14175000</v>
      </c>
      <c r="G11" s="451">
        <f>F11/E11</f>
        <v>120.52341597796143</v>
      </c>
      <c r="H11" s="39"/>
      <c r="I11" s="39"/>
      <c r="J11" s="39"/>
    </row>
    <row r="12" spans="1:10" s="426" customFormat="1" ht="13.5" thickBot="1">
      <c r="A12" s="506" t="s">
        <v>209</v>
      </c>
      <c r="B12" s="129"/>
      <c r="C12" s="129"/>
      <c r="D12" s="162">
        <f>SUM(D11:D11)</f>
        <v>14175000</v>
      </c>
      <c r="E12" s="525">
        <f>SUM(E11:E11)</f>
        <v>117612</v>
      </c>
      <c r="F12" s="518">
        <f>SUM(F11:F11)</f>
        <v>14175000</v>
      </c>
      <c r="G12" s="507">
        <f>F12/E12</f>
        <v>120.52341597796143</v>
      </c>
      <c r="H12" s="39"/>
      <c r="I12" s="39"/>
      <c r="J12" s="39"/>
    </row>
    <row r="13" spans="1:10" s="426" customFormat="1" ht="4.5" customHeight="1">
      <c r="A13" s="67"/>
      <c r="B13" s="77"/>
      <c r="C13" s="77"/>
      <c r="D13" s="67"/>
      <c r="E13" s="122"/>
      <c r="F13" s="516"/>
      <c r="G13" s="122"/>
      <c r="H13" s="39"/>
      <c r="I13" s="39"/>
      <c r="J13" s="39"/>
    </row>
    <row r="14" spans="1:10" s="426" customFormat="1">
      <c r="A14" s="66" t="s">
        <v>210</v>
      </c>
      <c r="B14" s="505"/>
      <c r="C14" s="505"/>
      <c r="D14" s="66"/>
      <c r="E14" s="122"/>
      <c r="F14" s="516"/>
      <c r="G14" s="122"/>
      <c r="H14" s="39"/>
      <c r="I14" s="39"/>
      <c r="J14" s="39"/>
    </row>
    <row r="15" spans="1:10" s="426" customFormat="1">
      <c r="A15" s="67"/>
      <c r="B15" s="68"/>
      <c r="C15" s="68"/>
      <c r="D15" s="524">
        <v>34125000</v>
      </c>
      <c r="E15" s="293">
        <v>283140</v>
      </c>
      <c r="F15" s="517">
        <f>D15</f>
        <v>34125000</v>
      </c>
      <c r="G15" s="451">
        <f>F15/E15</f>
        <v>120.52341597796143</v>
      </c>
      <c r="H15" s="39"/>
      <c r="I15" s="39"/>
      <c r="J15" s="39"/>
    </row>
    <row r="16" spans="1:10" s="426" customFormat="1" ht="13.5" thickBot="1">
      <c r="A16" s="506" t="s">
        <v>211</v>
      </c>
      <c r="B16" s="129"/>
      <c r="C16" s="129"/>
      <c r="D16" s="162">
        <f>SUM(D15:D15)</f>
        <v>34125000</v>
      </c>
      <c r="E16" s="525">
        <f>SUM(E15:E15)</f>
        <v>283140</v>
      </c>
      <c r="F16" s="518">
        <f>SUM(F15:F15)</f>
        <v>34125000</v>
      </c>
      <c r="G16" s="507">
        <f>F16/E16</f>
        <v>120.52341597796143</v>
      </c>
      <c r="H16" s="39"/>
      <c r="I16" s="39"/>
      <c r="J16" s="39"/>
    </row>
    <row r="17" spans="1:10" s="426" customFormat="1" ht="4.5" customHeight="1">
      <c r="A17" s="67"/>
      <c r="B17" s="77"/>
      <c r="C17" s="77"/>
      <c r="D17" s="67"/>
      <c r="E17" s="122"/>
      <c r="F17" s="516"/>
      <c r="G17" s="122"/>
      <c r="H17" s="39"/>
      <c r="I17" s="39"/>
      <c r="J17" s="39"/>
    </row>
    <row r="18" spans="1:10" s="426" customFormat="1">
      <c r="A18" s="66" t="s">
        <v>312</v>
      </c>
      <c r="B18" s="505"/>
      <c r="C18" s="505"/>
      <c r="D18" s="66"/>
      <c r="E18" s="122"/>
      <c r="F18" s="516"/>
      <c r="G18" s="122"/>
      <c r="H18" s="39"/>
      <c r="I18" s="39"/>
      <c r="J18" s="39"/>
    </row>
    <row r="19" spans="1:10" s="426" customFormat="1">
      <c r="A19" s="67" t="s">
        <v>206</v>
      </c>
      <c r="B19" s="68"/>
      <c r="C19" s="68"/>
      <c r="D19" s="524">
        <f>G19*E19</f>
        <v>61901599.001377419</v>
      </c>
      <c r="E19" s="293">
        <v>498647</v>
      </c>
      <c r="F19" s="517">
        <f>D19</f>
        <v>61901599.001377419</v>
      </c>
      <c r="G19" s="451">
        <f>G7*1.03</f>
        <v>124.13911845730028</v>
      </c>
      <c r="H19" s="39"/>
      <c r="I19" s="39"/>
      <c r="J19" s="39"/>
    </row>
    <row r="20" spans="1:10" s="426" customFormat="1">
      <c r="A20" s="67" t="s">
        <v>358</v>
      </c>
      <c r="B20" s="68"/>
      <c r="C20" s="68"/>
      <c r="D20" s="524">
        <f>E20*G19</f>
        <v>10427685.950413223</v>
      </c>
      <c r="E20" s="293">
        <v>84000</v>
      </c>
      <c r="F20" s="517">
        <f>E20*G19</f>
        <v>10427685.950413223</v>
      </c>
      <c r="G20" s="451"/>
      <c r="H20" s="39"/>
      <c r="I20" s="39"/>
      <c r="J20" s="39"/>
    </row>
    <row r="21" spans="1:10" s="426" customFormat="1" ht="13.5" thickBot="1">
      <c r="A21" s="506" t="s">
        <v>359</v>
      </c>
      <c r="B21" s="129"/>
      <c r="C21" s="129"/>
      <c r="D21" s="162">
        <f>D19-D20</f>
        <v>51473913.050964192</v>
      </c>
      <c r="E21" s="525">
        <f>E19-E20</f>
        <v>414647</v>
      </c>
      <c r="F21" s="518">
        <f>F19-F20</f>
        <v>51473913.050964192</v>
      </c>
      <c r="G21" s="507">
        <f>F21/E21</f>
        <v>124.13911845730028</v>
      </c>
      <c r="H21" s="39"/>
      <c r="I21" s="39"/>
      <c r="J21" s="39"/>
    </row>
    <row r="22" spans="1:10" s="426" customFormat="1" ht="4.5" customHeight="1" thickBot="1">
      <c r="A22" s="508"/>
      <c r="B22" s="509"/>
      <c r="C22" s="509"/>
      <c r="D22" s="508"/>
      <c r="E22" s="510"/>
      <c r="F22" s="519"/>
      <c r="G22" s="510"/>
      <c r="H22" s="39"/>
      <c r="I22" s="39"/>
      <c r="J22" s="39"/>
    </row>
    <row r="23" spans="1:10" s="426" customFormat="1" ht="4.5" customHeight="1">
      <c r="A23" s="511"/>
      <c r="B23" s="346"/>
      <c r="C23" s="346"/>
      <c r="D23" s="523"/>
      <c r="E23" s="526"/>
      <c r="F23" s="520"/>
      <c r="G23" s="512"/>
      <c r="H23" s="39"/>
      <c r="I23" s="39"/>
      <c r="J23" s="39"/>
    </row>
    <row r="24" spans="1:10" s="426" customFormat="1" ht="13.5" thickBot="1">
      <c r="A24" s="506" t="s">
        <v>212</v>
      </c>
      <c r="B24" s="129"/>
      <c r="C24" s="129"/>
      <c r="D24" s="162">
        <f>SUM(D8,D12,D16,D21,)</f>
        <v>212648913.05096418</v>
      </c>
      <c r="E24" s="525">
        <f>SUM(E8,E12,E16,E21,)</f>
        <v>1751939</v>
      </c>
      <c r="F24" s="518">
        <f>SUM(F8,F12,F16,F21,)</f>
        <v>212648913.05096418</v>
      </c>
      <c r="G24" s="507">
        <f>F24/E24</f>
        <v>121.37917647301886</v>
      </c>
      <c r="H24" s="39"/>
      <c r="I24" s="39"/>
      <c r="J24" s="39"/>
    </row>
    <row r="25" spans="1:10" s="426" customFormat="1">
      <c r="A25" s="39" t="s">
        <v>220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 s="426" customFormat="1">
      <c r="A26" s="39" t="s">
        <v>229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 s="426" customFormat="1" ht="13.5" thickBot="1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s="426" customFormat="1" ht="13.5" thickBot="1">
      <c r="A28" s="202" t="s">
        <v>15</v>
      </c>
      <c r="B28" s="275"/>
      <c r="C28" s="276"/>
      <c r="D28" s="39"/>
      <c r="E28" s="39"/>
      <c r="F28" s="39"/>
      <c r="G28" s="39"/>
      <c r="H28" s="39"/>
      <c r="I28" s="39"/>
      <c r="J28" s="39"/>
    </row>
    <row r="29" spans="1:10" s="426" customFormat="1">
      <c r="A29" s="139" t="s">
        <v>186</v>
      </c>
      <c r="B29" s="346"/>
      <c r="C29" s="513">
        <v>320</v>
      </c>
      <c r="D29" s="39"/>
      <c r="E29" s="378"/>
      <c r="F29" s="39"/>
      <c r="G29" s="39"/>
      <c r="H29" s="39"/>
      <c r="I29" s="39"/>
      <c r="J29" s="39"/>
    </row>
    <row r="30" spans="1:10" s="426" customFormat="1">
      <c r="A30" s="67" t="s">
        <v>213</v>
      </c>
      <c r="B30" s="77"/>
      <c r="C30" s="456">
        <v>4</v>
      </c>
      <c r="D30" s="39"/>
      <c r="E30" s="39"/>
      <c r="F30" s="39"/>
      <c r="G30" s="39"/>
      <c r="H30" s="39"/>
      <c r="I30" s="39"/>
      <c r="J30" s="39"/>
    </row>
    <row r="31" spans="1:10" s="426" customFormat="1">
      <c r="A31" s="67" t="s">
        <v>214</v>
      </c>
      <c r="B31" s="77"/>
      <c r="C31" s="514">
        <v>0.75</v>
      </c>
      <c r="D31" s="39"/>
      <c r="E31" s="39"/>
      <c r="F31" s="39"/>
      <c r="G31" s="39"/>
      <c r="H31" s="39"/>
      <c r="I31" s="39"/>
      <c r="J31" s="39"/>
    </row>
    <row r="32" spans="1:10" s="426" customFormat="1" ht="15" thickBot="1">
      <c r="A32" s="70" t="s">
        <v>215</v>
      </c>
      <c r="B32" s="129"/>
      <c r="C32" s="515">
        <v>0.11</v>
      </c>
      <c r="D32" s="39"/>
      <c r="E32" s="39"/>
      <c r="F32" s="39"/>
      <c r="G32" s="39"/>
      <c r="H32" s="39"/>
      <c r="I32" s="39"/>
      <c r="J32" s="39"/>
    </row>
    <row r="33" spans="1:10" s="426" customFormat="1">
      <c r="A33" s="39" t="s">
        <v>220</v>
      </c>
      <c r="B33" s="39"/>
      <c r="C33" s="39"/>
      <c r="D33" s="39"/>
      <c r="E33" s="39"/>
      <c r="F33" s="39"/>
      <c r="G33" s="39"/>
      <c r="H33" s="39"/>
      <c r="I33" s="39"/>
      <c r="J33" s="39"/>
    </row>
  </sheetData>
  <printOptions horizontalCentered="1"/>
  <pageMargins left="0.45" right="0.45" top="0.5" bottom="0.5" header="0.3" footer="0.3"/>
  <pageSetup scale="67" fitToHeight="2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view="pageBreakPreview" zoomScale="85" zoomScaleNormal="85" zoomScaleSheetLayoutView="85" workbookViewId="0">
      <selection activeCell="B5" sqref="B5"/>
    </sheetView>
  </sheetViews>
  <sheetFormatPr defaultColWidth="10" defaultRowHeight="12.75"/>
  <cols>
    <col min="1" max="1" width="31" style="426" customWidth="1"/>
    <col min="2" max="2" width="19" style="426" customWidth="1"/>
    <col min="3" max="3" width="19" style="453" customWidth="1"/>
    <col min="4" max="5" width="19" style="426" customWidth="1"/>
    <col min="6" max="16384" width="10" style="426"/>
  </cols>
  <sheetData>
    <row r="1" spans="1:5" s="39" customFormat="1">
      <c r="A1" s="54" t="s">
        <v>83</v>
      </c>
      <c r="B1" s="55"/>
      <c r="C1" s="55"/>
      <c r="D1" s="55"/>
      <c r="E1" s="56"/>
    </row>
    <row r="2" spans="1:5" s="39" customFormat="1" ht="13.5" thickBot="1">
      <c r="A2" s="57" t="s">
        <v>141</v>
      </c>
      <c r="B2" s="58"/>
      <c r="C2" s="58"/>
      <c r="D2" s="58"/>
      <c r="E2" s="59"/>
    </row>
    <row r="3" spans="1:5" s="39" customFormat="1" ht="12.75" customHeight="1">
      <c r="A3" s="854"/>
      <c r="B3" s="855" t="s">
        <v>142</v>
      </c>
      <c r="C3" s="433" t="s">
        <v>143</v>
      </c>
      <c r="D3" s="433" t="s">
        <v>144</v>
      </c>
      <c r="E3" s="434" t="s">
        <v>32</v>
      </c>
    </row>
    <row r="4" spans="1:5" s="39" customFormat="1" ht="15" thickBot="1">
      <c r="A4" s="126" t="s">
        <v>145</v>
      </c>
      <c r="B4" s="152" t="s">
        <v>146</v>
      </c>
      <c r="C4" s="152" t="s">
        <v>147</v>
      </c>
      <c r="D4" s="152" t="s">
        <v>148</v>
      </c>
      <c r="E4" s="435" t="s">
        <v>147</v>
      </c>
    </row>
    <row r="5" spans="1:5" s="39" customFormat="1">
      <c r="A5" s="67" t="s">
        <v>149</v>
      </c>
      <c r="B5" s="436">
        <v>122</v>
      </c>
      <c r="C5" s="437">
        <f t="shared" ref="C5:C29" si="0">B5*$B$33</f>
        <v>24.400000000000002</v>
      </c>
      <c r="D5" s="438">
        <f t="shared" ref="D5:D29" si="1">B5*$B$34</f>
        <v>4.88</v>
      </c>
      <c r="E5" s="439">
        <f>SUM(B5:D5)</f>
        <v>151.28</v>
      </c>
    </row>
    <row r="6" spans="1:5" s="39" customFormat="1">
      <c r="A6" s="67" t="s">
        <v>150</v>
      </c>
      <c r="B6" s="440">
        <v>139.76</v>
      </c>
      <c r="C6" s="441">
        <f t="shared" si="0"/>
        <v>27.951999999999998</v>
      </c>
      <c r="D6" s="442">
        <f t="shared" si="1"/>
        <v>5.5903999999999998</v>
      </c>
      <c r="E6" s="443">
        <f t="shared" ref="E6:E29" si="2">SUM(B6:D6)</f>
        <v>173.30239999999998</v>
      </c>
    </row>
    <row r="7" spans="1:5" s="39" customFormat="1">
      <c r="A7" s="67" t="s">
        <v>151</v>
      </c>
      <c r="B7" s="440">
        <v>164.86</v>
      </c>
      <c r="C7" s="441">
        <f t="shared" si="0"/>
        <v>32.972000000000001</v>
      </c>
      <c r="D7" s="442">
        <f t="shared" si="1"/>
        <v>6.5944000000000003</v>
      </c>
      <c r="E7" s="443">
        <f t="shared" si="2"/>
        <v>204.42640000000003</v>
      </c>
    </row>
    <row r="8" spans="1:5" s="39" customFormat="1">
      <c r="A8" s="67" t="s">
        <v>152</v>
      </c>
      <c r="B8" s="440">
        <v>134.1</v>
      </c>
      <c r="C8" s="441">
        <f t="shared" si="0"/>
        <v>26.82</v>
      </c>
      <c r="D8" s="442">
        <f t="shared" si="1"/>
        <v>5.3639999999999999</v>
      </c>
      <c r="E8" s="443">
        <f t="shared" si="2"/>
        <v>166.28399999999999</v>
      </c>
    </row>
    <row r="9" spans="1:5" s="39" customFormat="1">
      <c r="A9" s="67" t="s">
        <v>181</v>
      </c>
      <c r="B9" s="440">
        <v>186.95</v>
      </c>
      <c r="C9" s="441">
        <f t="shared" si="0"/>
        <v>37.39</v>
      </c>
      <c r="D9" s="442">
        <f t="shared" si="1"/>
        <v>7.4779999999999998</v>
      </c>
      <c r="E9" s="443">
        <f t="shared" si="2"/>
        <v>231.81799999999998</v>
      </c>
    </row>
    <row r="10" spans="1:5" s="39" customFormat="1">
      <c r="A10" s="67" t="s">
        <v>153</v>
      </c>
      <c r="B10" s="440">
        <v>131.75</v>
      </c>
      <c r="C10" s="441">
        <f t="shared" si="0"/>
        <v>26.35</v>
      </c>
      <c r="D10" s="442">
        <f t="shared" si="1"/>
        <v>5.2700000000000005</v>
      </c>
      <c r="E10" s="443">
        <f t="shared" si="2"/>
        <v>163.37</v>
      </c>
    </row>
    <row r="11" spans="1:5" s="39" customFormat="1">
      <c r="A11" s="67" t="s">
        <v>154</v>
      </c>
      <c r="B11" s="440">
        <v>114</v>
      </c>
      <c r="C11" s="441">
        <f t="shared" si="0"/>
        <v>22.8</v>
      </c>
      <c r="D11" s="442">
        <f t="shared" si="1"/>
        <v>4.5600000000000005</v>
      </c>
      <c r="E11" s="443">
        <f t="shared" si="2"/>
        <v>141.36000000000001</v>
      </c>
    </row>
    <row r="12" spans="1:5" s="39" customFormat="1">
      <c r="A12" s="67" t="s">
        <v>155</v>
      </c>
      <c r="B12" s="440">
        <v>132.15</v>
      </c>
      <c r="C12" s="441">
        <f t="shared" si="0"/>
        <v>26.430000000000003</v>
      </c>
      <c r="D12" s="442">
        <f t="shared" si="1"/>
        <v>5.2860000000000005</v>
      </c>
      <c r="E12" s="443">
        <f t="shared" si="2"/>
        <v>163.86600000000001</v>
      </c>
    </row>
    <row r="13" spans="1:5" s="39" customFormat="1">
      <c r="A13" s="67" t="s">
        <v>156</v>
      </c>
      <c r="B13" s="440">
        <v>94.87</v>
      </c>
      <c r="C13" s="441">
        <f t="shared" si="0"/>
        <v>18.974</v>
      </c>
      <c r="D13" s="442">
        <f t="shared" si="1"/>
        <v>3.7948000000000004</v>
      </c>
      <c r="E13" s="443">
        <f t="shared" si="2"/>
        <v>117.6388</v>
      </c>
    </row>
    <row r="14" spans="1:5" s="39" customFormat="1">
      <c r="A14" s="67" t="s">
        <v>182</v>
      </c>
      <c r="B14" s="440">
        <v>117.77</v>
      </c>
      <c r="C14" s="441">
        <f t="shared" si="0"/>
        <v>23.554000000000002</v>
      </c>
      <c r="D14" s="442">
        <f t="shared" si="1"/>
        <v>4.7107999999999999</v>
      </c>
      <c r="E14" s="443">
        <f t="shared" si="2"/>
        <v>146.03480000000002</v>
      </c>
    </row>
    <row r="15" spans="1:5" s="39" customFormat="1">
      <c r="A15" s="67" t="s">
        <v>157</v>
      </c>
      <c r="B15" s="440">
        <v>150.63999999999999</v>
      </c>
      <c r="C15" s="441">
        <f t="shared" si="0"/>
        <v>30.128</v>
      </c>
      <c r="D15" s="442">
        <f t="shared" si="1"/>
        <v>6.0255999999999998</v>
      </c>
      <c r="E15" s="443">
        <f t="shared" si="2"/>
        <v>186.79359999999997</v>
      </c>
    </row>
    <row r="16" spans="1:5" s="39" customFormat="1">
      <c r="A16" s="67" t="s">
        <v>158</v>
      </c>
      <c r="B16" s="440">
        <v>146.47</v>
      </c>
      <c r="C16" s="441">
        <f t="shared" si="0"/>
        <v>29.294</v>
      </c>
      <c r="D16" s="442">
        <f t="shared" si="1"/>
        <v>5.8588000000000005</v>
      </c>
      <c r="E16" s="443">
        <f t="shared" si="2"/>
        <v>181.62280000000001</v>
      </c>
    </row>
    <row r="17" spans="1:6" s="39" customFormat="1">
      <c r="A17" s="67" t="s">
        <v>159</v>
      </c>
      <c r="B17" s="440">
        <v>135.13999999999999</v>
      </c>
      <c r="C17" s="441">
        <f t="shared" si="0"/>
        <v>27.027999999999999</v>
      </c>
      <c r="D17" s="442">
        <f t="shared" si="1"/>
        <v>5.4055999999999997</v>
      </c>
      <c r="E17" s="443">
        <f t="shared" si="2"/>
        <v>167.57359999999997</v>
      </c>
    </row>
    <row r="18" spans="1:6" s="39" customFormat="1">
      <c r="A18" s="67" t="s">
        <v>160</v>
      </c>
      <c r="B18" s="440">
        <v>186.71</v>
      </c>
      <c r="C18" s="441">
        <f t="shared" si="0"/>
        <v>37.342000000000006</v>
      </c>
      <c r="D18" s="442">
        <f t="shared" si="1"/>
        <v>7.4684000000000008</v>
      </c>
      <c r="E18" s="443">
        <f t="shared" si="2"/>
        <v>231.52040000000002</v>
      </c>
    </row>
    <row r="19" spans="1:6" s="39" customFormat="1">
      <c r="A19" s="67" t="s">
        <v>161</v>
      </c>
      <c r="B19" s="440">
        <v>137.88</v>
      </c>
      <c r="C19" s="441">
        <f t="shared" si="0"/>
        <v>27.576000000000001</v>
      </c>
      <c r="D19" s="442">
        <f t="shared" si="1"/>
        <v>5.5152000000000001</v>
      </c>
      <c r="E19" s="443">
        <f t="shared" si="2"/>
        <v>170.97119999999998</v>
      </c>
    </row>
    <row r="20" spans="1:6" s="39" customFormat="1">
      <c r="A20" s="67" t="s">
        <v>162</v>
      </c>
      <c r="B20" s="440">
        <v>132.12</v>
      </c>
      <c r="C20" s="441">
        <f t="shared" si="0"/>
        <v>26.424000000000003</v>
      </c>
      <c r="D20" s="442">
        <f t="shared" si="1"/>
        <v>5.2848000000000006</v>
      </c>
      <c r="E20" s="443">
        <f t="shared" si="2"/>
        <v>163.8288</v>
      </c>
    </row>
    <row r="21" spans="1:6" s="39" customFormat="1">
      <c r="A21" s="67" t="s">
        <v>163</v>
      </c>
      <c r="B21" s="440">
        <v>139.97999999999999</v>
      </c>
      <c r="C21" s="441">
        <f t="shared" si="0"/>
        <v>27.995999999999999</v>
      </c>
      <c r="D21" s="442">
        <f t="shared" si="1"/>
        <v>5.5991999999999997</v>
      </c>
      <c r="E21" s="443">
        <f t="shared" si="2"/>
        <v>173.5752</v>
      </c>
      <c r="F21" s="444"/>
    </row>
    <row r="22" spans="1:6" s="39" customFormat="1">
      <c r="A22" s="67" t="s">
        <v>164</v>
      </c>
      <c r="B22" s="440">
        <v>130.96</v>
      </c>
      <c r="C22" s="441">
        <f t="shared" si="0"/>
        <v>26.192000000000004</v>
      </c>
      <c r="D22" s="442">
        <f t="shared" si="1"/>
        <v>5.2384000000000004</v>
      </c>
      <c r="E22" s="443">
        <f t="shared" si="2"/>
        <v>162.39040000000003</v>
      </c>
    </row>
    <row r="23" spans="1:6" s="39" customFormat="1">
      <c r="A23" s="67" t="s">
        <v>165</v>
      </c>
      <c r="B23" s="440">
        <v>177.4</v>
      </c>
      <c r="C23" s="441">
        <f t="shared" si="0"/>
        <v>35.480000000000004</v>
      </c>
      <c r="D23" s="442">
        <f t="shared" si="1"/>
        <v>7.0960000000000001</v>
      </c>
      <c r="E23" s="443">
        <f t="shared" si="2"/>
        <v>219.976</v>
      </c>
    </row>
    <row r="24" spans="1:6" s="39" customFormat="1">
      <c r="A24" s="67" t="s">
        <v>166</v>
      </c>
      <c r="B24" s="440">
        <v>168.62</v>
      </c>
      <c r="C24" s="441">
        <f t="shared" si="0"/>
        <v>33.724000000000004</v>
      </c>
      <c r="D24" s="442">
        <f t="shared" si="1"/>
        <v>6.7448000000000006</v>
      </c>
      <c r="E24" s="443">
        <f t="shared" si="2"/>
        <v>209.08879999999999</v>
      </c>
    </row>
    <row r="25" spans="1:6" s="39" customFormat="1">
      <c r="A25" s="67" t="s">
        <v>167</v>
      </c>
      <c r="B25" s="440">
        <v>102.255</v>
      </c>
      <c r="C25" s="441">
        <f t="shared" si="0"/>
        <v>20.451000000000001</v>
      </c>
      <c r="D25" s="442">
        <f t="shared" si="1"/>
        <v>4.0902000000000003</v>
      </c>
      <c r="E25" s="443">
        <f t="shared" si="2"/>
        <v>126.79619999999998</v>
      </c>
    </row>
    <row r="26" spans="1:6" s="39" customFormat="1">
      <c r="A26" s="67" t="s">
        <v>168</v>
      </c>
      <c r="B26" s="440">
        <v>143.02000000000001</v>
      </c>
      <c r="C26" s="441">
        <f t="shared" si="0"/>
        <v>28.604000000000003</v>
      </c>
      <c r="D26" s="442">
        <f t="shared" si="1"/>
        <v>5.7208000000000006</v>
      </c>
      <c r="E26" s="443">
        <f t="shared" si="2"/>
        <v>177.34480000000002</v>
      </c>
    </row>
    <row r="27" spans="1:6" s="39" customFormat="1">
      <c r="A27" s="67" t="s">
        <v>169</v>
      </c>
      <c r="B27" s="440">
        <v>142.85</v>
      </c>
      <c r="C27" s="441">
        <f t="shared" si="0"/>
        <v>28.57</v>
      </c>
      <c r="D27" s="442">
        <f t="shared" si="1"/>
        <v>5.7139999999999995</v>
      </c>
      <c r="E27" s="443">
        <f t="shared" si="2"/>
        <v>177.13399999999999</v>
      </c>
    </row>
    <row r="28" spans="1:6">
      <c r="A28" s="67" t="s">
        <v>170</v>
      </c>
      <c r="B28" s="440">
        <v>88.93</v>
      </c>
      <c r="C28" s="441">
        <f t="shared" si="0"/>
        <v>17.786000000000001</v>
      </c>
      <c r="D28" s="442">
        <f t="shared" si="1"/>
        <v>3.5572000000000004</v>
      </c>
      <c r="E28" s="443">
        <f t="shared" si="2"/>
        <v>110.2732</v>
      </c>
      <c r="F28" s="39"/>
    </row>
    <row r="29" spans="1:6" ht="13.5" thickBot="1">
      <c r="A29" s="70" t="s">
        <v>171</v>
      </c>
      <c r="B29" s="445">
        <v>79.77</v>
      </c>
      <c r="C29" s="446">
        <f t="shared" si="0"/>
        <v>15.954000000000001</v>
      </c>
      <c r="D29" s="447">
        <f t="shared" si="1"/>
        <v>3.1907999999999999</v>
      </c>
      <c r="E29" s="448">
        <f t="shared" si="2"/>
        <v>98.914799999999985</v>
      </c>
      <c r="F29" s="39"/>
    </row>
    <row r="30" spans="1:6">
      <c r="A30" s="39" t="s">
        <v>172</v>
      </c>
      <c r="B30" s="39"/>
      <c r="C30" s="61"/>
      <c r="D30" s="39"/>
      <c r="E30" s="39"/>
      <c r="F30" s="39"/>
    </row>
    <row r="31" spans="1:6" ht="13.5" thickBot="1">
      <c r="A31" s="39"/>
      <c r="B31" s="39"/>
      <c r="C31" s="61"/>
      <c r="D31" s="39"/>
      <c r="E31" s="39"/>
      <c r="F31" s="39"/>
    </row>
    <row r="32" spans="1:6" ht="13.5" thickBot="1">
      <c r="A32" s="142" t="s">
        <v>15</v>
      </c>
      <c r="B32" s="144"/>
      <c r="C32" s="68"/>
      <c r="D32" s="77"/>
      <c r="E32" s="77"/>
      <c r="F32" s="39"/>
    </row>
    <row r="33" spans="1:6">
      <c r="A33" s="67" t="s">
        <v>173</v>
      </c>
      <c r="B33" s="454">
        <v>0.2</v>
      </c>
      <c r="C33" s="68"/>
      <c r="D33" s="77"/>
      <c r="E33" s="77"/>
      <c r="F33" s="39"/>
    </row>
    <row r="34" spans="1:6" ht="13.5" thickBot="1">
      <c r="A34" s="70" t="s">
        <v>174</v>
      </c>
      <c r="B34" s="455">
        <v>0.04</v>
      </c>
      <c r="C34" s="68"/>
      <c r="D34" s="77"/>
      <c r="E34" s="77"/>
      <c r="F34" s="39"/>
    </row>
    <row r="35" spans="1:6" ht="13.5" thickBot="1">
      <c r="A35" s="60"/>
      <c r="B35" s="39"/>
      <c r="C35" s="61"/>
      <c r="D35" s="39"/>
      <c r="E35" s="39"/>
      <c r="F35" s="39"/>
    </row>
    <row r="36" spans="1:6">
      <c r="A36" s="54" t="s">
        <v>83</v>
      </c>
      <c r="B36" s="449"/>
      <c r="C36" s="61"/>
      <c r="D36" s="39"/>
      <c r="E36" s="39"/>
      <c r="F36" s="39"/>
    </row>
    <row r="37" spans="1:6" ht="13.5" thickBot="1">
      <c r="A37" s="57" t="s">
        <v>175</v>
      </c>
      <c r="B37" s="450"/>
      <c r="C37" s="61"/>
      <c r="D37" s="39"/>
      <c r="E37" s="39"/>
      <c r="F37" s="39"/>
    </row>
    <row r="38" spans="1:6" ht="13.5" thickBot="1">
      <c r="A38" s="91" t="s">
        <v>176</v>
      </c>
      <c r="B38" s="95" t="s">
        <v>177</v>
      </c>
      <c r="C38" s="61"/>
      <c r="D38" s="39"/>
      <c r="E38" s="39"/>
      <c r="F38" s="39"/>
    </row>
    <row r="39" spans="1:6">
      <c r="A39" s="67" t="s">
        <v>178</v>
      </c>
      <c r="B39" s="456">
        <v>35</v>
      </c>
      <c r="C39" s="61"/>
      <c r="D39" s="39"/>
      <c r="E39" s="39"/>
      <c r="F39" s="39"/>
    </row>
    <row r="40" spans="1:6">
      <c r="A40" s="67" t="s">
        <v>57</v>
      </c>
      <c r="B40" s="457">
        <v>10</v>
      </c>
      <c r="C40" s="61"/>
      <c r="D40" s="39"/>
      <c r="E40" s="39"/>
      <c r="F40" s="39"/>
    </row>
    <row r="41" spans="1:6">
      <c r="A41" s="67" t="s">
        <v>179</v>
      </c>
      <c r="B41" s="457">
        <v>25</v>
      </c>
      <c r="C41" s="61"/>
      <c r="D41" s="39"/>
      <c r="E41" s="39"/>
      <c r="F41" s="39"/>
    </row>
    <row r="42" spans="1:6" ht="13.5" thickBot="1">
      <c r="A42" s="70" t="s">
        <v>180</v>
      </c>
      <c r="B42" s="458">
        <v>50</v>
      </c>
      <c r="C42" s="61"/>
      <c r="D42" s="39"/>
      <c r="E42" s="39"/>
      <c r="F42" s="39"/>
    </row>
    <row r="43" spans="1:6">
      <c r="A43" s="39"/>
      <c r="B43" s="39"/>
      <c r="C43" s="61"/>
      <c r="D43" s="39"/>
      <c r="E43" s="39"/>
      <c r="F43" s="39"/>
    </row>
  </sheetData>
  <printOptions horizontalCentered="1"/>
  <pageMargins left="0.45" right="0.45" top="0.5" bottom="0.5" header="0.3" footer="0.3"/>
  <pageSetup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2" sqref="O3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showGridLines="0" tabSelected="1" view="pageBreakPreview" topLeftCell="A68" zoomScale="70" zoomScaleNormal="100" zoomScaleSheetLayoutView="70" workbookViewId="0">
      <selection activeCell="F85" sqref="F85"/>
    </sheetView>
  </sheetViews>
  <sheetFormatPr defaultColWidth="9.140625" defaultRowHeight="15"/>
  <cols>
    <col min="1" max="1" width="19.28515625" style="21" customWidth="1"/>
    <col min="2" max="2" width="33.85546875" style="21" customWidth="1"/>
    <col min="3" max="3" width="21.85546875" style="21" customWidth="1"/>
    <col min="4" max="4" width="20.5703125" style="12" customWidth="1"/>
    <col min="5" max="5" width="20.5703125" style="21" customWidth="1"/>
    <col min="6" max="6" width="22.7109375" style="21" bestFit="1" customWidth="1"/>
    <col min="7" max="11" width="20.5703125" style="21" customWidth="1"/>
    <col min="12" max="12" width="21" style="21" customWidth="1"/>
    <col min="13" max="13" width="21.5703125" style="21" customWidth="1"/>
    <col min="14" max="14" width="27" style="21" customWidth="1"/>
    <col min="15" max="15" width="9.140625" style="21"/>
    <col min="16" max="16" width="19.28515625" style="21" customWidth="1"/>
    <col min="17" max="16384" width="9.140625" style="21"/>
  </cols>
  <sheetData>
    <row r="1" spans="1:14" ht="18.75" thickBot="1">
      <c r="A1" s="820" t="s">
        <v>64</v>
      </c>
      <c r="B1" s="87"/>
      <c r="C1" s="87"/>
      <c r="D1" s="821"/>
      <c r="E1" s="822"/>
      <c r="F1" s="822"/>
      <c r="G1" s="822"/>
      <c r="H1" s="822"/>
      <c r="I1" s="822"/>
      <c r="J1" s="822"/>
      <c r="K1" s="822"/>
      <c r="L1" s="822"/>
      <c r="M1" s="822"/>
      <c r="N1" s="85"/>
    </row>
    <row r="2" spans="1:14" ht="16.5" thickBot="1">
      <c r="A2" s="753"/>
      <c r="B2" s="754"/>
      <c r="C2" s="754"/>
      <c r="D2" s="755" t="s">
        <v>58</v>
      </c>
      <c r="E2" s="381" t="s">
        <v>37</v>
      </c>
      <c r="F2" s="382"/>
      <c r="G2" s="383"/>
      <c r="H2" s="381" t="s">
        <v>80</v>
      </c>
      <c r="I2" s="384"/>
      <c r="J2" s="383"/>
      <c r="K2" s="385" t="s">
        <v>81</v>
      </c>
      <c r="L2" s="385"/>
      <c r="M2" s="386"/>
      <c r="N2" s="383"/>
    </row>
    <row r="3" spans="1:14" ht="16.5" thickBot="1">
      <c r="A3" s="4"/>
      <c r="B3" s="5"/>
      <c r="C3" s="5"/>
      <c r="D3" s="6" t="s">
        <v>311</v>
      </c>
      <c r="E3" s="34">
        <v>2019</v>
      </c>
      <c r="F3" s="6">
        <f>E3+1</f>
        <v>2020</v>
      </c>
      <c r="G3" s="7">
        <f t="shared" ref="G3:L3" si="0">F3+1</f>
        <v>2021</v>
      </c>
      <c r="H3" s="34">
        <f t="shared" si="0"/>
        <v>2022</v>
      </c>
      <c r="I3" s="6">
        <f t="shared" si="0"/>
        <v>2023</v>
      </c>
      <c r="J3" s="7">
        <f t="shared" si="0"/>
        <v>2024</v>
      </c>
      <c r="K3" s="6">
        <f t="shared" si="0"/>
        <v>2025</v>
      </c>
      <c r="L3" s="6">
        <f t="shared" si="0"/>
        <v>2026</v>
      </c>
      <c r="M3" s="6">
        <f>L3+1</f>
        <v>2027</v>
      </c>
      <c r="N3" s="7">
        <f>M3+1</f>
        <v>2028</v>
      </c>
    </row>
    <row r="4" spans="1:14" ht="16.5" thickBot="1">
      <c r="A4" s="28" t="s">
        <v>0</v>
      </c>
      <c r="B4" s="29"/>
      <c r="C4" s="29"/>
      <c r="D4" s="17"/>
      <c r="E4" s="474"/>
      <c r="F4" s="18"/>
      <c r="G4" s="24"/>
      <c r="H4" s="474"/>
      <c r="I4" s="18"/>
      <c r="J4" s="24"/>
      <c r="K4" s="18"/>
      <c r="L4" s="18"/>
      <c r="M4" s="18"/>
      <c r="N4" s="24"/>
    </row>
    <row r="5" spans="1:14">
      <c r="A5" s="665" t="s">
        <v>65</v>
      </c>
      <c r="B5" s="694"/>
      <c r="C5" s="694"/>
      <c r="D5" s="727">
        <f>'2.Market-Rate Rental Housing'!C60</f>
        <v>0</v>
      </c>
      <c r="E5" s="653">
        <f>'2.Market-Rate Rental Housing'!D60</f>
        <v>0</v>
      </c>
      <c r="F5" s="736">
        <f>'2.Market-Rate Rental Housing'!E60</f>
        <v>0</v>
      </c>
      <c r="G5" s="737">
        <f>'2.Market-Rate Rental Housing'!F60</f>
        <v>1117211.5590526799</v>
      </c>
      <c r="H5" s="653">
        <f>'2.Market-Rate Rental Housing'!G60</f>
        <v>2876819.7645606506</v>
      </c>
      <c r="I5" s="736">
        <f>'2.Market-Rate Rental Housing'!H60</f>
        <v>6631754.5143991001</v>
      </c>
      <c r="J5" s="737">
        <f>'2.Market-Rate Rental Housing'!I60</f>
        <v>12295272.869695932</v>
      </c>
      <c r="K5" s="736">
        <f>'2.Market-Rate Rental Housing'!J60</f>
        <v>21795478.507358856</v>
      </c>
      <c r="L5" s="736">
        <f>'2.Market-Rate Rental Housing'!K60</f>
        <v>31638771.671712492</v>
      </c>
      <c r="M5" s="736">
        <f>'2.Market-Rate Rental Housing'!L60</f>
        <v>36431151.306703568</v>
      </c>
      <c r="N5" s="737">
        <f>'2.Market-Rate Rental Housing'!M60</f>
        <v>37524085.845904663</v>
      </c>
    </row>
    <row r="6" spans="1:14">
      <c r="A6" s="665" t="s">
        <v>66</v>
      </c>
      <c r="B6" s="694"/>
      <c r="C6" s="694"/>
      <c r="D6" s="730">
        <f>'3.Market-Rate For-Sale Housing'!C37</f>
        <v>0</v>
      </c>
      <c r="E6" s="738">
        <f>'3.Market-Rate For-Sale Housing'!D37</f>
        <v>0</v>
      </c>
      <c r="F6" s="730">
        <f>'3.Market-Rate For-Sale Housing'!E37</f>
        <v>35637763.7628823</v>
      </c>
      <c r="G6" s="739">
        <f>'3.Market-Rate For-Sale Housing'!F37</f>
        <v>36706896.675768763</v>
      </c>
      <c r="H6" s="738">
        <f>'3.Market-Rate For-Sale Housing'!G37</f>
        <v>37808103.576041833</v>
      </c>
      <c r="I6" s="730">
        <f>'3.Market-Rate For-Sale Housing'!H37</f>
        <v>26604016.519938067</v>
      </c>
      <c r="J6" s="739">
        <f>'3.Market-Rate For-Sale Housing'!I37</f>
        <v>27402137.015536215</v>
      </c>
      <c r="K6" s="730">
        <f>'3.Market-Rate For-Sale Housing'!J37</f>
        <v>28496333.741586272</v>
      </c>
      <c r="L6" s="730">
        <f>'3.Market-Rate For-Sale Housing'!K37</f>
        <v>0</v>
      </c>
      <c r="M6" s="730">
        <f>'3.Market-Rate For-Sale Housing'!L37</f>
        <v>61519367.49321945</v>
      </c>
      <c r="N6" s="739">
        <f>'3.Market-Rate For-Sale Housing'!M37</f>
        <v>63364948.518016025</v>
      </c>
    </row>
    <row r="7" spans="1:14">
      <c r="A7" s="665" t="s">
        <v>67</v>
      </c>
      <c r="B7" s="694"/>
      <c r="C7" s="694"/>
      <c r="D7" s="730">
        <f>'4.Affordable Rental Housing'!C40</f>
        <v>0</v>
      </c>
      <c r="E7" s="655">
        <f>'4.Affordable Rental Housing'!D40</f>
        <v>0</v>
      </c>
      <c r="F7" s="731">
        <f>'4.Affordable Rental Housing'!E40</f>
        <v>56270.135999999999</v>
      </c>
      <c r="G7" s="716">
        <f>'4.Affordable Rental Housing'!F40</f>
        <v>127508.12817600001</v>
      </c>
      <c r="H7" s="655">
        <f>'4.Affordable Rental Housing'!G40</f>
        <v>310424.33386848005</v>
      </c>
      <c r="I7" s="731">
        <f>'4.Affordable Rental Housing'!H40</f>
        <v>1217460.3586372659</v>
      </c>
      <c r="J7" s="716">
        <f>'4.Affordable Rental Housing'!I40</f>
        <v>2482635.3252696078</v>
      </c>
      <c r="K7" s="731">
        <f>'4.Affordable Rental Housing'!J40</f>
        <v>3196392.9812846202</v>
      </c>
      <c r="L7" s="731">
        <f>'4.Affordable Rental Housing'!K40</f>
        <v>3292284.7707231585</v>
      </c>
      <c r="M7" s="731">
        <f>'4.Affordable Rental Housing'!L40</f>
        <v>3391053.313844854</v>
      </c>
      <c r="N7" s="716">
        <f>'4.Affordable Rental Housing'!M40</f>
        <v>3492784.9132601987</v>
      </c>
    </row>
    <row r="8" spans="1:14">
      <c r="A8" s="665" t="s">
        <v>413</v>
      </c>
      <c r="B8" s="694"/>
      <c r="C8" s="694"/>
      <c r="D8" s="730">
        <f>'5.Affordable For-Sale Housing '!C37</f>
        <v>0</v>
      </c>
      <c r="E8" s="655">
        <f>'5.Affordable For-Sale Housing '!D37</f>
        <v>0</v>
      </c>
      <c r="F8" s="731">
        <f>'5.Affordable For-Sale Housing '!E37</f>
        <v>959965.97400000016</v>
      </c>
      <c r="G8" s="716">
        <f>'5.Affordable For-Sale Housing '!F37</f>
        <v>741573.71491500002</v>
      </c>
      <c r="H8" s="655">
        <f>'5.Affordable For-Sale Housing '!G37</f>
        <v>763820.92636245</v>
      </c>
      <c r="I8" s="731">
        <f>'5.Affordable For-Sale Housing '!H37</f>
        <v>1311225.9235888724</v>
      </c>
      <c r="J8" s="716">
        <f>'5.Affordable For-Sale Housing '!I37</f>
        <v>1350562.7012965386</v>
      </c>
      <c r="K8" s="731">
        <f>'5.Affordable For-Sale Housing '!J37</f>
        <v>1391079.5823354346</v>
      </c>
      <c r="L8" s="731">
        <f>'5.Affordable For-Sale Housing '!K37</f>
        <v>0</v>
      </c>
      <c r="M8" s="731">
        <f>'5.Affordable For-Sale Housing '!L37</f>
        <v>7378981.6444983128</v>
      </c>
      <c r="N8" s="716">
        <f>'5.Affordable For-Sale Housing '!M37</f>
        <v>7600351.093833264</v>
      </c>
    </row>
    <row r="9" spans="1:14">
      <c r="A9" s="665" t="s">
        <v>68</v>
      </c>
      <c r="B9" s="694"/>
      <c r="C9" s="694"/>
      <c r="D9" s="730">
        <f>'6.Office'!C29</f>
        <v>0</v>
      </c>
      <c r="E9" s="655">
        <f>'6.Office'!D29</f>
        <v>0</v>
      </c>
      <c r="F9" s="731">
        <f>'6.Office'!E29</f>
        <v>0</v>
      </c>
      <c r="G9" s="716">
        <f>'6.Office'!F29</f>
        <v>7431789.7782395594</v>
      </c>
      <c r="H9" s="655">
        <f>'6.Office'!G29</f>
        <v>7654743.4715867471</v>
      </c>
      <c r="I9" s="731">
        <f>'6.Office'!H29</f>
        <v>14340165.313043656</v>
      </c>
      <c r="J9" s="716">
        <f>'6.Office'!I29</f>
        <v>14770370.272434967</v>
      </c>
      <c r="K9" s="731">
        <f>'6.Office'!J29</f>
        <v>15213481.380608018</v>
      </c>
      <c r="L9" s="731">
        <f>'6.Office'!K29</f>
        <v>15669885.822026255</v>
      </c>
      <c r="M9" s="731">
        <f>'6.Office'!L29</f>
        <v>16139982.396687042</v>
      </c>
      <c r="N9" s="716">
        <f>'6.Office'!M29</f>
        <v>16624181.868587654</v>
      </c>
    </row>
    <row r="10" spans="1:14">
      <c r="A10" s="665" t="s">
        <v>420</v>
      </c>
      <c r="B10" s="694"/>
      <c r="C10" s="694"/>
      <c r="D10" s="730">
        <f>'7.Industrial &amp; School'!C38</f>
        <v>0</v>
      </c>
      <c r="E10" s="655">
        <f>'7.Industrial &amp; School'!D38</f>
        <v>0</v>
      </c>
      <c r="F10" s="731">
        <f>'7.Industrial &amp; School'!E38</f>
        <v>0</v>
      </c>
      <c r="G10" s="716">
        <f>'7.Industrial &amp; School'!F38</f>
        <v>251138.4652564837</v>
      </c>
      <c r="H10" s="655">
        <f>'7.Industrial &amp; School'!G38</f>
        <v>258672.61921417818</v>
      </c>
      <c r="I10" s="731">
        <f>'7.Industrial &amp; School'!H38</f>
        <v>266432.79779060348</v>
      </c>
      <c r="J10" s="716">
        <f>'7.Industrial &amp; School'!I38</f>
        <v>-26096.399329435022</v>
      </c>
      <c r="K10" s="731">
        <f>'7.Industrial &amp; School'!J38</f>
        <v>293106.54842577316</v>
      </c>
      <c r="L10" s="731">
        <f>'7.Industrial &amp; School'!K38</f>
        <v>301899.74487854622</v>
      </c>
      <c r="M10" s="731">
        <f>'7.Industrial &amp; School'!L38</f>
        <v>310956.73722490249</v>
      </c>
      <c r="N10" s="716">
        <f>'7.Industrial &amp; School'!M38</f>
        <v>1992420.0905656382</v>
      </c>
    </row>
    <row r="11" spans="1:14">
      <c r="A11" s="665" t="s">
        <v>69</v>
      </c>
      <c r="B11" s="694"/>
      <c r="C11" s="694"/>
      <c r="D11" s="730">
        <f>'8.Market-Rate Retail'!C83</f>
        <v>0</v>
      </c>
      <c r="E11" s="655">
        <f>'8.Market-Rate Retail'!D83</f>
        <v>0</v>
      </c>
      <c r="F11" s="731">
        <f>'8.Market-Rate Retail'!E83</f>
        <v>1055752.9906049999</v>
      </c>
      <c r="G11" s="716">
        <f>'8.Market-Rate Retail'!F83</f>
        <v>2913721.507208745</v>
      </c>
      <c r="H11" s="655">
        <f>'8.Market-Rate Retail'!G83</f>
        <v>3789197.2009022138</v>
      </c>
      <c r="I11" s="731">
        <f>'8.Market-Rate Retail'!H83</f>
        <v>5804591.8748377627</v>
      </c>
      <c r="J11" s="716">
        <f>'8.Market-Rate Retail'!I83</f>
        <v>8155020.1575667392</v>
      </c>
      <c r="K11" s="731">
        <f>'8.Market-Rate Retail'!J83</f>
        <v>9513914.3088204768</v>
      </c>
      <c r="L11" s="731">
        <f>'8.Market-Rate Retail'!K83</f>
        <v>10077318.351949211</v>
      </c>
      <c r="M11" s="731">
        <f>'8.Market-Rate Retail'!L83</f>
        <v>10945995.279221881</v>
      </c>
      <c r="N11" s="716">
        <f>'8.Market-Rate Retail'!M83</f>
        <v>12082977.080114767</v>
      </c>
    </row>
    <row r="12" spans="1:14">
      <c r="A12" s="665" t="s">
        <v>49</v>
      </c>
      <c r="B12" s="694"/>
      <c r="C12" s="694"/>
      <c r="D12" s="730">
        <f>'9.Hotel'!C15</f>
        <v>0</v>
      </c>
      <c r="E12" s="655">
        <f>'9.Hotel'!D15</f>
        <v>0</v>
      </c>
      <c r="F12" s="731">
        <f>'9.Hotel'!E15</f>
        <v>2805306.8586429758</v>
      </c>
      <c r="G12" s="716">
        <f>'9.Hotel'!F15</f>
        <v>7259783.4868106917</v>
      </c>
      <c r="H12" s="655">
        <f>'9.Hotel'!G15</f>
        <v>7477576.9914150108</v>
      </c>
      <c r="I12" s="731">
        <f>'9.Hotel'!H15</f>
        <v>7701904.3011574596</v>
      </c>
      <c r="J12" s="716">
        <f>'9.Hotel'!I15</f>
        <v>7932961.4301921837</v>
      </c>
      <c r="K12" s="731">
        <f>'9.Hotel'!J15</f>
        <v>8170950.2730979528</v>
      </c>
      <c r="L12" s="731">
        <f>'9.Hotel'!K15</f>
        <v>8416078.7812908888</v>
      </c>
      <c r="M12" s="731">
        <f>'9.Hotel'!L15</f>
        <v>8668561.1447296161</v>
      </c>
      <c r="N12" s="716">
        <f>'9.Hotel'!M15</f>
        <v>8928617.9790715035</v>
      </c>
    </row>
    <row r="13" spans="1:14">
      <c r="A13" s="665" t="s">
        <v>392</v>
      </c>
      <c r="B13" s="694"/>
      <c r="C13" s="694"/>
      <c r="D13" s="730">
        <f>'10.Structured Parking'!C88</f>
        <v>0</v>
      </c>
      <c r="E13" s="655">
        <f>'10.Structured Parking'!D88</f>
        <v>0</v>
      </c>
      <c r="F13" s="731">
        <f>'10.Structured Parking'!E88</f>
        <v>12149606.655703124</v>
      </c>
      <c r="G13" s="716">
        <f>'10.Structured Parking'!F88</f>
        <v>12514094.855374219</v>
      </c>
      <c r="H13" s="655">
        <f>'10.Structured Parking'!G88</f>
        <v>12889517.701035442</v>
      </c>
      <c r="I13" s="731">
        <f>'10.Structured Parking'!H88</f>
        <v>35501522.124671057</v>
      </c>
      <c r="J13" s="716">
        <f>'10.Structured Parking'!I88</f>
        <v>39652583.366464317</v>
      </c>
      <c r="K13" s="731">
        <f>'10.Structured Parking'!J88</f>
        <v>40842160.867458232</v>
      </c>
      <c r="L13" s="731">
        <f>'10.Structured Parking'!K88</f>
        <v>42067425.693481989</v>
      </c>
      <c r="M13" s="731">
        <f>'10.Structured Parking'!L88</f>
        <v>43329448.464286439</v>
      </c>
      <c r="N13" s="716">
        <f>'10.Structured Parking'!M88</f>
        <v>57719828.786277607</v>
      </c>
    </row>
    <row r="14" spans="1:14" hidden="1">
      <c r="A14" s="672" t="s">
        <v>51</v>
      </c>
      <c r="B14" s="732"/>
      <c r="C14" s="732"/>
      <c r="D14" s="733">
        <f>'11.Surface Parking'!C65</f>
        <v>0</v>
      </c>
      <c r="E14" s="740">
        <f>'11.Surface Parking'!D65</f>
        <v>0</v>
      </c>
      <c r="F14" s="741">
        <f>'11.Surface Parking'!E65</f>
        <v>0</v>
      </c>
      <c r="G14" s="742">
        <f>'11.Surface Parking'!F65</f>
        <v>0</v>
      </c>
      <c r="H14" s="740">
        <f>'11.Surface Parking'!G65</f>
        <v>0</v>
      </c>
      <c r="I14" s="741">
        <f>'11.Surface Parking'!H65</f>
        <v>0</v>
      </c>
      <c r="J14" s="742">
        <f>'11.Surface Parking'!I65</f>
        <v>0</v>
      </c>
      <c r="K14" s="741">
        <f>'11.Surface Parking'!J65</f>
        <v>0</v>
      </c>
      <c r="L14" s="741">
        <f>'11.Surface Parking'!K65</f>
        <v>0</v>
      </c>
      <c r="M14" s="741">
        <f>'11.Surface Parking'!L65</f>
        <v>0</v>
      </c>
      <c r="N14" s="742">
        <f>'11.Surface Parking'!M65</f>
        <v>0</v>
      </c>
    </row>
    <row r="15" spans="1:14" ht="16.5" thickBot="1">
      <c r="A15" s="658" t="s">
        <v>1</v>
      </c>
      <c r="B15" s="659"/>
      <c r="C15" s="659"/>
      <c r="D15" s="743">
        <f t="shared" ref="D15:M15" si="1">SUM(D5:D14)</f>
        <v>0</v>
      </c>
      <c r="E15" s="660">
        <f t="shared" si="1"/>
        <v>0</v>
      </c>
      <c r="F15" s="744">
        <f t="shared" si="1"/>
        <v>52664666.377833396</v>
      </c>
      <c r="G15" s="745">
        <f t="shared" si="1"/>
        <v>69063718.170802146</v>
      </c>
      <c r="H15" s="660">
        <f t="shared" si="1"/>
        <v>73828876.584987</v>
      </c>
      <c r="I15" s="744">
        <f t="shared" si="1"/>
        <v>99379073.728063852</v>
      </c>
      <c r="J15" s="745">
        <f t="shared" si="1"/>
        <v>114015446.73912707</v>
      </c>
      <c r="K15" s="744">
        <f t="shared" si="1"/>
        <v>128912898.19097564</v>
      </c>
      <c r="L15" s="744">
        <f t="shared" si="1"/>
        <v>111463664.83606255</v>
      </c>
      <c r="M15" s="744">
        <f t="shared" si="1"/>
        <v>188115497.7804161</v>
      </c>
      <c r="N15" s="745">
        <f>SUM(N5:N14)</f>
        <v>209330196.17563128</v>
      </c>
    </row>
    <row r="16" spans="1:14" ht="16.5" thickBot="1">
      <c r="A16" s="28" t="s">
        <v>2</v>
      </c>
      <c r="B16" s="29"/>
      <c r="C16" s="29"/>
      <c r="D16" s="17"/>
      <c r="E16" s="474"/>
      <c r="F16" s="18"/>
      <c r="G16" s="24"/>
      <c r="H16" s="474"/>
      <c r="I16" s="18"/>
      <c r="J16" s="24"/>
      <c r="K16" s="18"/>
      <c r="L16" s="18"/>
      <c r="M16" s="18"/>
      <c r="N16" s="24"/>
    </row>
    <row r="17" spans="1:16">
      <c r="A17" s="665" t="s">
        <v>65</v>
      </c>
      <c r="B17" s="694"/>
      <c r="C17" s="694"/>
      <c r="D17" s="727">
        <f>'2.Market-Rate Rental Housing'!C66</f>
        <v>0</v>
      </c>
      <c r="E17" s="728">
        <f>'2.Market-Rate Rental Housing'!D66</f>
        <v>0</v>
      </c>
      <c r="F17" s="727">
        <f>'2.Market-Rate Rental Housing'!E66</f>
        <v>23922923.799577203</v>
      </c>
      <c r="G17" s="729">
        <f>'2.Market-Rate Rental Housing'!F66</f>
        <v>12320305.75678226</v>
      </c>
      <c r="H17" s="728">
        <f>'2.Market-Rate Rental Housing'!G66</f>
        <v>91738224.304575965</v>
      </c>
      <c r="I17" s="727">
        <f>'2.Market-Rate Rental Housing'!H66</f>
        <v>22589487.543005664</v>
      </c>
      <c r="J17" s="729">
        <f>'2.Market-Rate Rental Housing'!I66</f>
        <v>11633586.084647918</v>
      </c>
      <c r="K17" s="727">
        <f>'2.Market-Rate Rental Housing'!J66</f>
        <v>117395720.83954324</v>
      </c>
      <c r="L17" s="727">
        <f>'2.Market-Rate Rental Housing'!K66</f>
        <v>60458796.232364766</v>
      </c>
      <c r="M17" s="727">
        <f>'2.Market-Rate Rental Housing'!L66</f>
        <v>4558343.6145984745</v>
      </c>
      <c r="N17" s="729">
        <f>'2.Market-Rate Rental Housing'!M66</f>
        <v>0</v>
      </c>
    </row>
    <row r="18" spans="1:16">
      <c r="A18" s="665" t="s">
        <v>66</v>
      </c>
      <c r="B18" s="694"/>
      <c r="C18" s="694"/>
      <c r="D18" s="730">
        <f>'3.Market-Rate For-Sale Housing'!C43</f>
        <v>0</v>
      </c>
      <c r="E18" s="655">
        <f>'3.Market-Rate For-Sale Housing'!D43</f>
        <v>59859269.293312006</v>
      </c>
      <c r="F18" s="731">
        <f>'3.Market-Rate For-Sale Housing'!E43</f>
        <v>0</v>
      </c>
      <c r="G18" s="716">
        <f>'3.Market-Rate For-Sale Housing'!F43</f>
        <v>0</v>
      </c>
      <c r="H18" s="655">
        <f>'3.Market-Rate For-Sale Housing'!G43</f>
        <v>998665.81940036558</v>
      </c>
      <c r="I18" s="731">
        <f>'3.Market-Rate For-Sale Housing'!H43</f>
        <v>30268457.205089871</v>
      </c>
      <c r="J18" s="716">
        <f>'3.Market-Rate For-Sale Housing'!I43</f>
        <v>15323384.318670824</v>
      </c>
      <c r="K18" s="731">
        <f>'3.Market-Rate For-Sale Housing'!J43</f>
        <v>0</v>
      </c>
      <c r="L18" s="731">
        <f>'3.Market-Rate For-Sale Housing'!K43</f>
        <v>60962550.104730189</v>
      </c>
      <c r="M18" s="731">
        <f>'3.Market-Rate For-Sale Housing'!L43</f>
        <v>8137768.8883802239</v>
      </c>
      <c r="N18" s="716">
        <f>'3.Market-Rate For-Sale Housing'!M43</f>
        <v>0</v>
      </c>
    </row>
    <row r="19" spans="1:16">
      <c r="A19" s="665" t="s">
        <v>67</v>
      </c>
      <c r="B19" s="694"/>
      <c r="C19" s="694"/>
      <c r="D19" s="730">
        <f>'4.Affordable Rental Housing'!C46</f>
        <v>0</v>
      </c>
      <c r="E19" s="655">
        <f>'4.Affordable Rental Housing'!D46</f>
        <v>0</v>
      </c>
      <c r="F19" s="731">
        <f>'4.Affordable Rental Housing'!E46</f>
        <v>2552758.798</v>
      </c>
      <c r="G19" s="716">
        <f>'4.Affordable Rental Housing'!F46</f>
        <v>1314670.7809700002</v>
      </c>
      <c r="H19" s="655">
        <f>'4.Affordable Rental Housing'!G46</f>
        <v>5416443.6175964</v>
      </c>
      <c r="I19" s="731">
        <f>'4.Affordable Rental Housing'!H46</f>
        <v>4184202.6945932186</v>
      </c>
      <c r="J19" s="716">
        <f>'4.Affordable Rental Housing'!I46</f>
        <v>0</v>
      </c>
      <c r="K19" s="731">
        <f>'4.Affordable Rental Housing'!J46</f>
        <v>35512165.109551571</v>
      </c>
      <c r="L19" s="731">
        <f>'4.Affordable Rental Housing'!K46</f>
        <v>18288765.031419057</v>
      </c>
      <c r="M19" s="731">
        <f>'4.Affordable Rental Housing'!L46</f>
        <v>4558343.6145984745</v>
      </c>
      <c r="N19" s="716">
        <f>'4.Affordable Rental Housing'!M46</f>
        <v>0</v>
      </c>
    </row>
    <row r="20" spans="1:16">
      <c r="A20" s="665" t="s">
        <v>413</v>
      </c>
      <c r="B20" s="694"/>
      <c r="C20" s="694"/>
      <c r="D20" s="730">
        <f>'5.Affordable For-Sale Housing '!C43</f>
        <v>0</v>
      </c>
      <c r="E20" s="655">
        <f>'5.Affordable For-Sale Housing '!D43</f>
        <v>2478406.6</v>
      </c>
      <c r="F20" s="731">
        <f>'5.Affordable For-Sale Housing '!E43</f>
        <v>0</v>
      </c>
      <c r="G20" s="716">
        <f>'5.Affordable For-Sale Housing '!F43</f>
        <v>0</v>
      </c>
      <c r="H20" s="655">
        <f>'5.Affordable For-Sale Housing '!G43</f>
        <v>0</v>
      </c>
      <c r="I20" s="731">
        <f>'5.Affordable For-Sale Housing '!H43</f>
        <v>2789468.4630621457</v>
      </c>
      <c r="J20" s="716">
        <f>'5.Affordable For-Sale Housing '!I43</f>
        <v>1436576.2584770054</v>
      </c>
      <c r="K20" s="731">
        <f>'5.Affordable For-Sale Housing '!J43</f>
        <v>0</v>
      </c>
      <c r="L20" s="731">
        <f>'5.Affordable For-Sale Housing '!K43</f>
        <v>0</v>
      </c>
      <c r="M20" s="731">
        <f>'5.Affordable For-Sale Housing '!L43</f>
        <v>15697856.651968025</v>
      </c>
      <c r="N20" s="716">
        <f>'5.Affordable For-Sale Housing '!M43</f>
        <v>0</v>
      </c>
    </row>
    <row r="21" spans="1:16">
      <c r="A21" s="665" t="s">
        <v>68</v>
      </c>
      <c r="B21" s="694"/>
      <c r="C21" s="694"/>
      <c r="D21" s="730">
        <f>'6.Office'!C35</f>
        <v>0</v>
      </c>
      <c r="E21" s="655">
        <f>'6.Office'!D35</f>
        <v>62882222.578783982</v>
      </c>
      <c r="F21" s="731">
        <f>'6.Office'!E35</f>
        <v>35968026.475011051</v>
      </c>
      <c r="G21" s="716">
        <f>'6.Office'!F35</f>
        <v>0</v>
      </c>
      <c r="H21" s="655">
        <f>'6.Office'!G35</f>
        <v>0</v>
      </c>
      <c r="I21" s="731">
        <f>'6.Office'!H35</f>
        <v>90132265.430389971</v>
      </c>
      <c r="J21" s="716">
        <f>'6.Office'!I35</f>
        <v>0</v>
      </c>
      <c r="K21" s="731">
        <f>'6.Office'!J35</f>
        <v>0</v>
      </c>
      <c r="L21" s="731">
        <f>'6.Office'!K35</f>
        <v>0</v>
      </c>
      <c r="M21" s="731">
        <f>'6.Office'!L35</f>
        <v>0</v>
      </c>
      <c r="N21" s="716">
        <f>'6.Office'!M35</f>
        <v>0</v>
      </c>
    </row>
    <row r="22" spans="1:16">
      <c r="A22" s="665" t="s">
        <v>440</v>
      </c>
      <c r="B22" s="694"/>
      <c r="C22" s="694"/>
      <c r="D22" s="730">
        <f>'7.Industrial &amp; School'!C44</f>
        <v>0</v>
      </c>
      <c r="E22" s="655">
        <f>'7.Industrial &amp; School'!D44</f>
        <v>0</v>
      </c>
      <c r="F22" s="731">
        <f>'7.Industrial &amp; School'!E44</f>
        <v>6053839.8458615346</v>
      </c>
      <c r="G22" s="716">
        <f>'7.Industrial &amp; School'!F44</f>
        <v>0</v>
      </c>
      <c r="H22" s="655">
        <f>'7.Industrial &amp; School'!G44</f>
        <v>0</v>
      </c>
      <c r="I22" s="731">
        <f>'7.Industrial &amp; School'!H44</f>
        <v>29984785.931905054</v>
      </c>
      <c r="J22" s="716">
        <f>'7.Industrial &amp; School'!I44</f>
        <v>2853692.5298438813</v>
      </c>
      <c r="K22" s="731">
        <f>'7.Industrial &amp; School'!J44</f>
        <v>0</v>
      </c>
      <c r="L22" s="731">
        <f>'7.Industrial &amp; School'!K44</f>
        <v>0</v>
      </c>
      <c r="M22" s="731">
        <f>'7.Industrial &amp; School'!L44</f>
        <v>3716546.6114365761</v>
      </c>
      <c r="N22" s="716">
        <f>'7.Industrial &amp; School'!M44</f>
        <v>0</v>
      </c>
    </row>
    <row r="23" spans="1:16">
      <c r="A23" s="665" t="s">
        <v>69</v>
      </c>
      <c r="B23" s="694"/>
      <c r="C23" s="694"/>
      <c r="D23" s="730">
        <f>'8.Market-Rate Retail'!C91</f>
        <v>0</v>
      </c>
      <c r="E23" s="655">
        <f>'8.Market-Rate Retail'!D91</f>
        <v>0</v>
      </c>
      <c r="F23" s="731">
        <f>'8.Market-Rate Retail'!E91</f>
        <v>16021146.380614201</v>
      </c>
      <c r="G23" s="716">
        <f>'8.Market-Rate Retail'!F91</f>
        <v>15205968.880747743</v>
      </c>
      <c r="H23" s="655">
        <f>'8.Market-Rate Retail'!G91</f>
        <v>7831073.9735850897</v>
      </c>
      <c r="I23" s="731">
        <f>'8.Market-Rate Retail'!H91</f>
        <v>36373652.972059868</v>
      </c>
      <c r="J23" s="716">
        <f>'8.Market-Rate Retail'!I91</f>
        <v>17588121.283287507</v>
      </c>
      <c r="K23" s="731">
        <f>'8.Market-Rate Retail'!J91</f>
        <v>5982753.5800528098</v>
      </c>
      <c r="L23" s="731">
        <f>'8.Market-Rate Retail'!K91</f>
        <v>0</v>
      </c>
      <c r="M23" s="731">
        <f>'8.Market-Rate Retail'!L91</f>
        <v>10832562.172034679</v>
      </c>
      <c r="N23" s="716">
        <f>'8.Market-Rate Retail'!M91</f>
        <v>8307309.470818527</v>
      </c>
    </row>
    <row r="24" spans="1:16">
      <c r="A24" s="665" t="s">
        <v>49</v>
      </c>
      <c r="B24" s="694"/>
      <c r="C24" s="694"/>
      <c r="D24" s="730">
        <f>'9.Hotel'!C21</f>
        <v>0</v>
      </c>
      <c r="E24" s="655">
        <f>'9.Hotel'!D21</f>
        <v>59088373.124794312</v>
      </c>
      <c r="F24" s="731">
        <f>'9.Hotel'!E21</f>
        <v>30430512.159269076</v>
      </c>
      <c r="G24" s="716">
        <f>'9.Hotel'!F21</f>
        <v>0</v>
      </c>
      <c r="H24" s="655">
        <f>'9.Hotel'!G21</f>
        <v>0</v>
      </c>
      <c r="I24" s="731">
        <f>'9.Hotel'!H21</f>
        <v>0</v>
      </c>
      <c r="J24" s="716">
        <f>'9.Hotel'!I21</f>
        <v>0</v>
      </c>
      <c r="K24" s="731">
        <f>'9.Hotel'!J21</f>
        <v>0</v>
      </c>
      <c r="L24" s="731">
        <f>'9.Hotel'!K21</f>
        <v>0</v>
      </c>
      <c r="M24" s="731">
        <f>'9.Hotel'!L21</f>
        <v>0</v>
      </c>
      <c r="N24" s="716">
        <f>'9.Hotel'!M21</f>
        <v>0</v>
      </c>
    </row>
    <row r="25" spans="1:16">
      <c r="A25" s="665" t="s">
        <v>50</v>
      </c>
      <c r="B25" s="694"/>
      <c r="C25" s="694"/>
      <c r="D25" s="730">
        <f>'10.Structured Parking'!C94</f>
        <v>0</v>
      </c>
      <c r="E25" s="655">
        <f>'10.Structured Parking'!D94</f>
        <v>8330067.6609300002</v>
      </c>
      <c r="F25" s="731">
        <f>'10.Structured Parking'!E94</f>
        <v>7067906.9015083499</v>
      </c>
      <c r="G25" s="716">
        <f>'10.Structured Parking'!F94</f>
        <v>0</v>
      </c>
      <c r="H25" s="655">
        <f>'10.Structured Parking'!G94</f>
        <v>27790986.985038288</v>
      </c>
      <c r="I25" s="731">
        <f>'10.Structured Parking'!H94</f>
        <v>9386735.8547486719</v>
      </c>
      <c r="J25" s="716">
        <f>'10.Structured Parking'!I94</f>
        <v>0</v>
      </c>
      <c r="K25" s="731">
        <f>'10.Structured Parking'!J94</f>
        <v>0</v>
      </c>
      <c r="L25" s="731">
        <f>'10.Structured Parking'!K94</f>
        <v>10594576.889220912</v>
      </c>
      <c r="M25" s="731">
        <f>'10.Structured Parking'!L94</f>
        <v>5456207.09794877</v>
      </c>
      <c r="N25" s="716">
        <f>'10.Structured Parking'!M94</f>
        <v>0</v>
      </c>
    </row>
    <row r="26" spans="1:16" hidden="1">
      <c r="A26" s="665" t="s">
        <v>51</v>
      </c>
      <c r="B26" s="694"/>
      <c r="C26" s="694"/>
      <c r="D26" s="730">
        <f>'11.Surface Parking'!C71</f>
        <v>0</v>
      </c>
      <c r="E26" s="655">
        <f>'11.Surface Parking'!D71</f>
        <v>0</v>
      </c>
      <c r="F26" s="731">
        <f>'11.Surface Parking'!E71</f>
        <v>0</v>
      </c>
      <c r="G26" s="716">
        <f>'11.Surface Parking'!F71</f>
        <v>0</v>
      </c>
      <c r="H26" s="655">
        <f>'11.Surface Parking'!G71</f>
        <v>0</v>
      </c>
      <c r="I26" s="731">
        <f>'11.Surface Parking'!H71</f>
        <v>0</v>
      </c>
      <c r="J26" s="716">
        <f>'11.Surface Parking'!I71</f>
        <v>0</v>
      </c>
      <c r="K26" s="731">
        <f>'11.Surface Parking'!J71</f>
        <v>0</v>
      </c>
      <c r="L26" s="731">
        <f>'11.Surface Parking'!K71</f>
        <v>0</v>
      </c>
      <c r="M26" s="731">
        <f>'11.Surface Parking'!L71</f>
        <v>0</v>
      </c>
      <c r="N26" s="716">
        <f>'11.Surface Parking'!M71</f>
        <v>0</v>
      </c>
    </row>
    <row r="27" spans="1:16">
      <c r="A27" s="665" t="s">
        <v>70</v>
      </c>
      <c r="B27" s="694"/>
      <c r="C27" s="694"/>
      <c r="D27" s="730">
        <f>'Land Acquisition'!J5+'Land Values'!D12+'Land Values'!D16</f>
        <v>161175000</v>
      </c>
      <c r="E27" s="655">
        <f>'Land Acquisition'!J6</f>
        <v>51473913.050964192</v>
      </c>
      <c r="F27" s="712">
        <v>0</v>
      </c>
      <c r="G27" s="713">
        <f t="shared" ref="G27:N29" si="2">F27</f>
        <v>0</v>
      </c>
      <c r="H27" s="671">
        <f t="shared" si="2"/>
        <v>0</v>
      </c>
      <c r="I27" s="712">
        <f t="shared" si="2"/>
        <v>0</v>
      </c>
      <c r="J27" s="713">
        <f t="shared" si="2"/>
        <v>0</v>
      </c>
      <c r="K27" s="712">
        <f t="shared" si="2"/>
        <v>0</v>
      </c>
      <c r="L27" s="712">
        <f t="shared" si="2"/>
        <v>0</v>
      </c>
      <c r="M27" s="712">
        <f t="shared" si="2"/>
        <v>0</v>
      </c>
      <c r="N27" s="713">
        <f t="shared" si="2"/>
        <v>0</v>
      </c>
    </row>
    <row r="28" spans="1:16">
      <c r="A28" s="665" t="s">
        <v>9</v>
      </c>
      <c r="B28" s="694"/>
      <c r="C28" s="694"/>
      <c r="D28" s="730">
        <f>'1.Infrastructure Costs'!D18</f>
        <v>0</v>
      </c>
      <c r="E28" s="655">
        <f>'1.Infrastructure Costs'!E18</f>
        <v>6705334.333333333</v>
      </c>
      <c r="F28" s="731">
        <f>'1.Infrastructure Costs'!F18</f>
        <v>7930563.4516666662</v>
      </c>
      <c r="G28" s="716">
        <f>'1.Infrastructure Costs'!G18</f>
        <v>2102297.4753</v>
      </c>
      <c r="H28" s="655">
        <f>'1.Infrastructure Costs'!H18</f>
        <v>5039344.104436785</v>
      </c>
      <c r="I28" s="731">
        <f>'1.Infrastructure Costs'!I18</f>
        <v>0</v>
      </c>
      <c r="J28" s="716">
        <f>'1.Infrastructure Costs'!J18</f>
        <v>0</v>
      </c>
      <c r="K28" s="731">
        <f>'1.Infrastructure Costs'!K18</f>
        <v>0</v>
      </c>
      <c r="L28" s="731">
        <f>'1.Infrastructure Costs'!L18</f>
        <v>0</v>
      </c>
      <c r="M28" s="731">
        <f>'1.Infrastructure Costs'!M18</f>
        <v>795911.64213583909</v>
      </c>
      <c r="N28" s="716">
        <f>'1.Infrastructure Costs'!N18</f>
        <v>0</v>
      </c>
    </row>
    <row r="29" spans="1:16">
      <c r="A29" s="672" t="s">
        <v>237</v>
      </c>
      <c r="B29" s="732"/>
      <c r="C29" s="732"/>
      <c r="D29" s="733">
        <f>'Land Acquisition'!F16</f>
        <v>1688983.75</v>
      </c>
      <c r="E29" s="816">
        <v>0</v>
      </c>
      <c r="F29" s="721">
        <f>E29</f>
        <v>0</v>
      </c>
      <c r="G29" s="722">
        <f t="shared" si="2"/>
        <v>0</v>
      </c>
      <c r="H29" s="720">
        <f t="shared" si="2"/>
        <v>0</v>
      </c>
      <c r="I29" s="721">
        <f t="shared" si="2"/>
        <v>0</v>
      </c>
      <c r="J29" s="722">
        <f t="shared" si="2"/>
        <v>0</v>
      </c>
      <c r="K29" s="721">
        <f t="shared" si="2"/>
        <v>0</v>
      </c>
      <c r="L29" s="721">
        <f t="shared" si="2"/>
        <v>0</v>
      </c>
      <c r="M29" s="721">
        <f t="shared" si="2"/>
        <v>0</v>
      </c>
      <c r="N29" s="722">
        <f t="shared" si="2"/>
        <v>0</v>
      </c>
    </row>
    <row r="30" spans="1:16">
      <c r="A30" s="665" t="s">
        <v>423</v>
      </c>
      <c r="B30" s="694"/>
      <c r="C30" s="694"/>
      <c r="D30" s="730">
        <f>F83</f>
        <v>6570000</v>
      </c>
      <c r="E30" s="656"/>
      <c r="F30" s="712"/>
      <c r="G30" s="713"/>
      <c r="H30" s="671"/>
      <c r="I30" s="712"/>
      <c r="J30" s="713"/>
      <c r="K30" s="712"/>
      <c r="L30" s="712"/>
      <c r="M30" s="712"/>
      <c r="N30" s="713"/>
    </row>
    <row r="31" spans="1:16" ht="16.5" thickBot="1">
      <c r="A31" s="658" t="s">
        <v>3</v>
      </c>
      <c r="B31" s="659"/>
      <c r="C31" s="649"/>
      <c r="D31" s="725">
        <f>SUM(D17:D30)</f>
        <v>169433983.75</v>
      </c>
      <c r="E31" s="660">
        <f t="shared" ref="E31:N31" si="3">SUM(E17:E29)</f>
        <v>250817586.64211783</v>
      </c>
      <c r="F31" s="744">
        <f t="shared" si="3"/>
        <v>129947677.81150809</v>
      </c>
      <c r="G31" s="745">
        <f t="shared" si="3"/>
        <v>30943242.893800002</v>
      </c>
      <c r="H31" s="660">
        <f t="shared" si="3"/>
        <v>138814738.8046329</v>
      </c>
      <c r="I31" s="744">
        <f t="shared" si="3"/>
        <v>225709056.09485447</v>
      </c>
      <c r="J31" s="745">
        <f t="shared" si="3"/>
        <v>48835360.474927135</v>
      </c>
      <c r="K31" s="734">
        <f t="shared" si="3"/>
        <v>158890639.52914762</v>
      </c>
      <c r="L31" s="734">
        <f t="shared" si="3"/>
        <v>150304688.25773495</v>
      </c>
      <c r="M31" s="734">
        <f t="shared" si="3"/>
        <v>53753540.293101057</v>
      </c>
      <c r="N31" s="735">
        <f t="shared" si="3"/>
        <v>8307309.470818527</v>
      </c>
    </row>
    <row r="32" spans="1:16" ht="16.5" thickBot="1">
      <c r="A32" s="28" t="s">
        <v>4</v>
      </c>
      <c r="B32" s="29"/>
      <c r="C32" s="29"/>
      <c r="D32" s="577"/>
      <c r="E32" s="474"/>
      <c r="F32" s="18"/>
      <c r="G32" s="24"/>
      <c r="H32" s="474"/>
      <c r="I32" s="18"/>
      <c r="J32" s="24"/>
      <c r="K32" s="474"/>
      <c r="L32" s="18"/>
      <c r="M32" s="18"/>
      <c r="N32" s="24"/>
      <c r="P32" s="550"/>
    </row>
    <row r="33" spans="1:14">
      <c r="A33" s="706" t="s">
        <v>5</v>
      </c>
      <c r="B33" s="707"/>
      <c r="C33" s="650"/>
      <c r="D33" s="708">
        <f>D15</f>
        <v>0</v>
      </c>
      <c r="E33" s="670">
        <f t="shared" ref="E33:N33" si="4">E15</f>
        <v>0</v>
      </c>
      <c r="F33" s="709">
        <f t="shared" si="4"/>
        <v>52664666.377833396</v>
      </c>
      <c r="G33" s="710">
        <f t="shared" si="4"/>
        <v>69063718.170802146</v>
      </c>
      <c r="H33" s="670">
        <f t="shared" si="4"/>
        <v>73828876.584987</v>
      </c>
      <c r="I33" s="709">
        <f t="shared" si="4"/>
        <v>99379073.728063852</v>
      </c>
      <c r="J33" s="710">
        <f t="shared" si="4"/>
        <v>114015446.73912707</v>
      </c>
      <c r="K33" s="670">
        <f t="shared" si="4"/>
        <v>128912898.19097564</v>
      </c>
      <c r="L33" s="709">
        <f t="shared" si="4"/>
        <v>111463664.83606255</v>
      </c>
      <c r="M33" s="709">
        <f t="shared" si="4"/>
        <v>188115497.7804161</v>
      </c>
      <c r="N33" s="710">
        <f t="shared" si="4"/>
        <v>209330196.17563128</v>
      </c>
    </row>
    <row r="34" spans="1:14" ht="15.75">
      <c r="A34" s="665" t="s">
        <v>59</v>
      </c>
      <c r="B34" s="675" t="s">
        <v>274</v>
      </c>
      <c r="C34" s="974">
        <f>N33/N34</f>
        <v>0.11553444590315964</v>
      </c>
      <c r="D34" s="711"/>
      <c r="F34" s="1066">
        <f>D115*1.15</f>
        <v>16301249.999999998</v>
      </c>
      <c r="H34" s="671"/>
      <c r="I34" s="712"/>
      <c r="J34" s="713"/>
      <c r="K34" s="671"/>
      <c r="L34" s="714"/>
      <c r="M34" s="715"/>
      <c r="N34" s="716">
        <f>SUM('2.Market-Rate Rental Housing'!M69+'4.Affordable Rental Housing'!M49+'6.Office'!M38+'7.Industrial &amp; School'!M47+'8.Market-Rate Retail'!M94+'9.Hotel'!M24+'10.Structured Parking'!M97+'11.Surface Parking'!M74)</f>
        <v>1811842299.8374939</v>
      </c>
    </row>
    <row r="35" spans="1:14">
      <c r="A35" s="665" t="s">
        <v>29</v>
      </c>
      <c r="B35" s="650"/>
      <c r="C35" s="717">
        <v>0.03</v>
      </c>
      <c r="D35" s="718"/>
      <c r="E35" s="671">
        <f>-F34*C35</f>
        <v>-489037.49999999994</v>
      </c>
      <c r="F35" s="712"/>
      <c r="G35" s="713"/>
      <c r="H35" s="671"/>
      <c r="I35" s="712"/>
      <c r="J35" s="713"/>
      <c r="K35" s="671"/>
      <c r="L35" s="712"/>
      <c r="M35" s="712"/>
      <c r="N35" s="713">
        <f>N34*-C35</f>
        <v>-54355268.995124817</v>
      </c>
    </row>
    <row r="36" spans="1:14">
      <c r="A36" s="672" t="s">
        <v>238</v>
      </c>
      <c r="B36" s="657"/>
      <c r="C36" s="657"/>
      <c r="D36" s="719">
        <f>-D31</f>
        <v>-169433983.75</v>
      </c>
      <c r="E36" s="720">
        <f t="shared" ref="E36:N36" si="5">-E31</f>
        <v>-250817586.64211783</v>
      </c>
      <c r="F36" s="721">
        <f t="shared" si="5"/>
        <v>-129947677.81150809</v>
      </c>
      <c r="G36" s="722">
        <f t="shared" si="5"/>
        <v>-30943242.893800002</v>
      </c>
      <c r="H36" s="720">
        <f t="shared" si="5"/>
        <v>-138814738.8046329</v>
      </c>
      <c r="I36" s="721">
        <f t="shared" si="5"/>
        <v>-225709056.09485447</v>
      </c>
      <c r="J36" s="722">
        <f t="shared" si="5"/>
        <v>-48835360.474927135</v>
      </c>
      <c r="K36" s="720">
        <f t="shared" si="5"/>
        <v>-158890639.52914762</v>
      </c>
      <c r="L36" s="721">
        <f t="shared" si="5"/>
        <v>-150304688.25773495</v>
      </c>
      <c r="M36" s="721">
        <f t="shared" si="5"/>
        <v>-53753540.293101057</v>
      </c>
      <c r="N36" s="722">
        <f t="shared" si="5"/>
        <v>-8307309.470818527</v>
      </c>
    </row>
    <row r="37" spans="1:14" ht="15.75">
      <c r="A37" s="665" t="s">
        <v>309</v>
      </c>
      <c r="B37" s="675"/>
      <c r="C37" s="675"/>
      <c r="D37" s="739">
        <f>-Financing!B19</f>
        <v>0</v>
      </c>
      <c r="E37" s="655">
        <f>-Financing!C19</f>
        <v>-1393279.9700863839</v>
      </c>
      <c r="F37" s="731">
        <f>-Financing!D19</f>
        <v>-9190140.6387768686</v>
      </c>
      <c r="G37" s="716">
        <f>-Financing!E19</f>
        <v>-11046735.212404868</v>
      </c>
      <c r="H37" s="655">
        <f>-Financing!F19</f>
        <v>-19375619.540682841</v>
      </c>
      <c r="I37" s="731">
        <f>-Financing!G19</f>
        <v>-32918162.906374112</v>
      </c>
      <c r="J37" s="716">
        <f>-Financing!H19</f>
        <v>-35848284.534869738</v>
      </c>
      <c r="K37" s="655">
        <f>-Financing!I19</f>
        <v>-45381722.906618595</v>
      </c>
      <c r="L37" s="731">
        <f>-Financing!J19</f>
        <v>-54400004.202082701</v>
      </c>
      <c r="M37" s="731">
        <f>-Financing!K19</f>
        <v>-57625216.619668759</v>
      </c>
      <c r="N37" s="716">
        <f>-Financing!L19</f>
        <v>-58123655.187917873</v>
      </c>
    </row>
    <row r="38" spans="1:14" ht="16.5" thickBot="1">
      <c r="A38" s="1067" t="s">
        <v>6</v>
      </c>
      <c r="B38" s="1068"/>
      <c r="C38" s="1068"/>
      <c r="D38" s="1069">
        <f>SUM(D33:D36)</f>
        <v>-169433983.75</v>
      </c>
      <c r="E38" s="1069">
        <f t="shared" ref="E38:N38" si="6">SUM(E33:E36)</f>
        <v>-251306624.14211783</v>
      </c>
      <c r="F38" s="1069">
        <f t="shared" si="6"/>
        <v>-60981761.433674693</v>
      </c>
      <c r="G38" s="1069">
        <f t="shared" si="6"/>
        <v>38120475.277002141</v>
      </c>
      <c r="H38" s="1069">
        <f t="shared" si="6"/>
        <v>-64985862.219645903</v>
      </c>
      <c r="I38" s="1069">
        <f t="shared" si="6"/>
        <v>-126329982.36679062</v>
      </c>
      <c r="J38" s="1069">
        <f t="shared" si="6"/>
        <v>65180086.264199935</v>
      </c>
      <c r="K38" s="1069">
        <f t="shared" si="6"/>
        <v>-29977741.338171989</v>
      </c>
      <c r="L38" s="1069">
        <f t="shared" si="6"/>
        <v>-38841023.421672404</v>
      </c>
      <c r="M38" s="1069">
        <f t="shared" si="6"/>
        <v>134361957.48731506</v>
      </c>
      <c r="N38" s="1069">
        <f t="shared" si="6"/>
        <v>1958509917.5471818</v>
      </c>
    </row>
    <row r="39" spans="1:14" ht="16.5" thickBot="1">
      <c r="A39" s="976" t="s">
        <v>449</v>
      </c>
      <c r="B39" s="675"/>
      <c r="C39" s="675"/>
      <c r="D39" s="730">
        <f>Financing!B34</f>
        <v>-169433983.75</v>
      </c>
      <c r="E39" s="731">
        <f>Financing!C34</f>
        <v>-229478571.27743119</v>
      </c>
      <c r="F39" s="731">
        <f>Financing!D34</f>
        <v>59775775.739056528</v>
      </c>
      <c r="G39" s="731">
        <f>Financing!E34</f>
        <v>58016982.958397277</v>
      </c>
      <c r="H39" s="731">
        <f>Financing!F34</f>
        <v>54453257.044304162</v>
      </c>
      <c r="I39" s="731">
        <f>Financing!G34</f>
        <v>66460910.82168974</v>
      </c>
      <c r="J39" s="731">
        <f>Financing!H34</f>
        <v>78167162.204257339</v>
      </c>
      <c r="K39" s="731">
        <f>Financing!I34</f>
        <v>83531175.284357041</v>
      </c>
      <c r="L39" s="731">
        <f>Financing!J34</f>
        <v>57063660.63397985</v>
      </c>
      <c r="M39" s="731">
        <f>Financing!K34</f>
        <v>130490281.16074735</v>
      </c>
      <c r="N39" s="731">
        <f>Financing!L34</f>
        <v>939965985.36478448</v>
      </c>
    </row>
    <row r="40" spans="1:14" ht="15.75">
      <c r="A40" s="746"/>
      <c r="B40" s="747"/>
      <c r="C40" s="747"/>
      <c r="D40" s="748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25" t="s">
        <v>239</v>
      </c>
      <c r="B41" s="25"/>
      <c r="C41" s="553">
        <f>D38+NPV(0.09,E38:N38)</f>
        <v>342107546.42381984</v>
      </c>
      <c r="D41" s="9"/>
      <c r="E41" s="11"/>
      <c r="F41" s="11"/>
      <c r="G41" s="11"/>
      <c r="H41" s="10"/>
      <c r="I41" s="11"/>
      <c r="J41" s="11"/>
      <c r="K41" s="11"/>
      <c r="L41" s="11"/>
      <c r="M41" s="11"/>
      <c r="N41" s="11"/>
    </row>
    <row r="42" spans="1:14" ht="16.5" thickBot="1">
      <c r="A42" s="749" t="s">
        <v>71</v>
      </c>
      <c r="B42" s="25"/>
      <c r="C42" s="823">
        <f>M77/N34</f>
        <v>0.48996680654510616</v>
      </c>
      <c r="D42" s="9"/>
      <c r="E42" s="11"/>
      <c r="F42" s="11"/>
      <c r="G42" s="11"/>
      <c r="H42" s="26"/>
      <c r="I42" s="11"/>
      <c r="J42" s="11"/>
      <c r="K42" s="11"/>
      <c r="L42" s="11"/>
      <c r="M42" s="11"/>
      <c r="N42" s="11"/>
    </row>
    <row r="43" spans="1:14" ht="15.75">
      <c r="A43" s="25" t="s">
        <v>72</v>
      </c>
      <c r="B43" s="25"/>
      <c r="C43" s="823">
        <f>IRR(D38:N38,0)</f>
        <v>0.15461791446302708</v>
      </c>
      <c r="D43" s="9"/>
      <c r="E43" s="11"/>
      <c r="F43" s="11"/>
      <c r="G43" s="31" t="s">
        <v>73</v>
      </c>
      <c r="H43" s="32"/>
      <c r="I43" s="32"/>
      <c r="J43" s="551">
        <f>D27</f>
        <v>161175000</v>
      </c>
      <c r="K43" s="11"/>
      <c r="L43" s="11"/>
      <c r="M43" s="11"/>
      <c r="N43" s="11"/>
    </row>
    <row r="44" spans="1:14" ht="16.5" thickBot="1">
      <c r="A44" s="25" t="s">
        <v>273</v>
      </c>
      <c r="B44" s="25"/>
      <c r="C44" s="824">
        <f>Financing!$B$36</f>
        <v>0.20367542197373001</v>
      </c>
      <c r="D44" s="751" t="s">
        <v>272</v>
      </c>
      <c r="E44" s="11"/>
      <c r="F44" s="11"/>
      <c r="G44" s="496" t="s">
        <v>74</v>
      </c>
      <c r="H44" s="20"/>
      <c r="I44" s="20"/>
      <c r="J44" s="552">
        <f>N34</f>
        <v>1811842299.8374939</v>
      </c>
      <c r="K44" s="11"/>
      <c r="L44" s="11"/>
      <c r="M44" s="11"/>
      <c r="N44" s="11"/>
    </row>
    <row r="45" spans="1:14" s="10" customFormat="1" ht="16.5" thickBot="1">
      <c r="A45" s="750"/>
      <c r="B45" s="30"/>
      <c r="C45" s="30"/>
      <c r="D45" s="19"/>
      <c r="E45" s="20"/>
      <c r="F45" s="20"/>
      <c r="G45" s="555"/>
      <c r="H45" s="20"/>
      <c r="I45" s="20"/>
      <c r="J45" s="20"/>
      <c r="K45" s="20"/>
      <c r="L45" s="20"/>
      <c r="M45" s="20"/>
      <c r="N45" s="20"/>
    </row>
    <row r="46" spans="1:14" ht="16.5" thickBot="1">
      <c r="A46" s="83" t="s">
        <v>75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14" ht="16.5" thickBot="1">
      <c r="A47" s="33"/>
      <c r="B47" s="16"/>
      <c r="C47" s="16"/>
      <c r="D47" s="8" t="s">
        <v>58</v>
      </c>
      <c r="E47" s="381" t="s">
        <v>37</v>
      </c>
      <c r="F47" s="382"/>
      <c r="G47" s="383"/>
      <c r="H47" s="381" t="s">
        <v>80</v>
      </c>
      <c r="I47" s="384"/>
      <c r="J47" s="383"/>
      <c r="K47" s="385" t="s">
        <v>81</v>
      </c>
      <c r="L47" s="385"/>
      <c r="M47" s="386"/>
      <c r="N47" s="383"/>
    </row>
    <row r="48" spans="1:14" s="12" customFormat="1" ht="16.5" thickBot="1">
      <c r="A48" s="4"/>
      <c r="B48" s="5"/>
      <c r="C48" s="6" t="s">
        <v>30</v>
      </c>
      <c r="D48" s="6" t="s">
        <v>311</v>
      </c>
      <c r="E48" s="34">
        <v>2019</v>
      </c>
      <c r="F48" s="6">
        <f t="shared" ref="F48:N48" si="7">E48+1</f>
        <v>2020</v>
      </c>
      <c r="G48" s="7">
        <f t="shared" si="7"/>
        <v>2021</v>
      </c>
      <c r="H48" s="34">
        <f t="shared" si="7"/>
        <v>2022</v>
      </c>
      <c r="I48" s="6">
        <f t="shared" si="7"/>
        <v>2023</v>
      </c>
      <c r="J48" s="7">
        <f t="shared" si="7"/>
        <v>2024</v>
      </c>
      <c r="K48" s="6">
        <f t="shared" si="7"/>
        <v>2025</v>
      </c>
      <c r="L48" s="6">
        <f t="shared" si="7"/>
        <v>2026</v>
      </c>
      <c r="M48" s="6">
        <f t="shared" si="7"/>
        <v>2027</v>
      </c>
      <c r="N48" s="7">
        <f t="shared" si="7"/>
        <v>2028</v>
      </c>
    </row>
    <row r="49" spans="1:14" ht="16.5" thickBot="1">
      <c r="A49" s="23" t="s">
        <v>409</v>
      </c>
      <c r="B49" s="23"/>
      <c r="C49" s="23"/>
      <c r="D49" s="35"/>
      <c r="E49" s="474"/>
      <c r="F49" s="18"/>
      <c r="G49" s="24"/>
      <c r="H49" s="474"/>
      <c r="I49" s="18"/>
      <c r="J49" s="24"/>
      <c r="K49" s="18"/>
      <c r="L49" s="18"/>
      <c r="M49" s="18"/>
      <c r="N49" s="24"/>
    </row>
    <row r="50" spans="1:14">
      <c r="A50" s="665" t="s">
        <v>65</v>
      </c>
      <c r="B50" s="694"/>
      <c r="C50" s="828">
        <f>SUM('2.Market-Rate Rental Housing'!C78:C82)</f>
        <v>1210.3436999999999</v>
      </c>
      <c r="D50" s="682">
        <f>SUM('2.Market-Rate Rental Housing'!C9,'2.Market-Rate Rental Housing'!C19,'2.Market-Rate Rental Housing'!C29,'2.Market-Rate Rental Housing'!C39,'2.Market-Rate Rental Housing'!C49)</f>
        <v>0</v>
      </c>
      <c r="E50" s="695">
        <f>SUM('2.Market-Rate Rental Housing'!D9,'2.Market-Rate Rental Housing'!D19,'2.Market-Rate Rental Housing'!D29,'2.Market-Rate Rental Housing'!D39,'2.Market-Rate Rental Housing'!D49)</f>
        <v>0</v>
      </c>
      <c r="F50" s="696">
        <f>SUM('2.Market-Rate Rental Housing'!E9,'2.Market-Rate Rental Housing'!E19,'2.Market-Rate Rental Housing'!E29,'2.Market-Rate Rental Housing'!E39,'2.Market-Rate Rental Housing'!E49)</f>
        <v>94</v>
      </c>
      <c r="G50" s="697">
        <f>SUM('2.Market-Rate Rental Housing'!F9,'2.Market-Rate Rental Housing'!F19,'2.Market-Rate Rental Housing'!F29,'2.Market-Rate Rental Housing'!F39,'2.Market-Rate Rental Housing'!F49)</f>
        <v>47</v>
      </c>
      <c r="H50" s="695">
        <f>SUM('2.Market-Rate Rental Housing'!G9,'2.Market-Rate Rental Housing'!G19,'2.Market-Rate Rental Housing'!G29,'2.Market-Rate Rental Housing'!G39,'2.Market-Rate Rental Housing'!G49)</f>
        <v>339</v>
      </c>
      <c r="I50" s="696">
        <f>SUM('2.Market-Rate Rental Housing'!H9,'2.Market-Rate Rental Housing'!H19,'2.Market-Rate Rental Housing'!H29,'2.Market-Rate Rental Housing'!H39,'2.Market-Rate Rental Housing'!H49)</f>
        <v>81</v>
      </c>
      <c r="J50" s="697">
        <f>SUM('2.Market-Rate Rental Housing'!I9,'2.Market-Rate Rental Housing'!I19,'2.Market-Rate Rental Housing'!I29,'2.Market-Rate Rental Housing'!I39,'2.Market-Rate Rental Housing'!I49)</f>
        <v>40</v>
      </c>
      <c r="K50" s="682">
        <f>SUM('2.Market-Rate Rental Housing'!J9,'2.Market-Rate Rental Housing'!J19,'2.Market-Rate Rental Housing'!J29,'2.Market-Rate Rental Housing'!J39,'2.Market-Rate Rental Housing'!J49)</f>
        <v>397</v>
      </c>
      <c r="L50" s="682">
        <f>SUM('2.Market-Rate Rental Housing'!K9,'2.Market-Rate Rental Housing'!K19,'2.Market-Rate Rental Housing'!K29,'2.Market-Rate Rental Housing'!K39,'2.Market-Rate Rental Housing'!K49)</f>
        <v>198</v>
      </c>
      <c r="M50" s="682">
        <f>SUM('2.Market-Rate Rental Housing'!L9,'2.Market-Rate Rental Housing'!L19,'2.Market-Rate Rental Housing'!L29,'2.Market-Rate Rental Housing'!L39,'2.Market-Rate Rental Housing'!L49)</f>
        <v>15</v>
      </c>
      <c r="N50" s="684">
        <f>SUM('2.Market-Rate Rental Housing'!M9,'2.Market-Rate Rental Housing'!M19,'2.Market-Rate Rental Housing'!M29,'2.Market-Rate Rental Housing'!M39,'2.Market-Rate Rental Housing'!M49)</f>
        <v>0</v>
      </c>
    </row>
    <row r="51" spans="1:14">
      <c r="A51" s="665" t="s">
        <v>66</v>
      </c>
      <c r="B51" s="694"/>
      <c r="C51" s="828">
        <f>SUM('3.Market-Rate For-Sale Housing'!C53:C55)</f>
        <v>632.97349999999994</v>
      </c>
      <c r="D51" s="698">
        <f>SUM('3.Market-Rate For-Sale Housing'!C18,'3.Market-Rate For-Sale Housing'!C27,'3.Market-Rate For-Sale Housing'!C9)</f>
        <v>0</v>
      </c>
      <c r="E51" s="699">
        <f>SUM('3.Market-Rate For-Sale Housing'!D18,'3.Market-Rate For-Sale Housing'!D27,'3.Market-Rate For-Sale Housing'!D9)</f>
        <v>242</v>
      </c>
      <c r="F51" s="700">
        <f>SUM('3.Market-Rate For-Sale Housing'!E18,'3.Market-Rate For-Sale Housing'!E27,'3.Market-Rate For-Sale Housing'!E9)</f>
        <v>0</v>
      </c>
      <c r="G51" s="701">
        <f>SUM('3.Market-Rate For-Sale Housing'!F18,'3.Market-Rate For-Sale Housing'!F27,'3.Market-Rate For-Sale Housing'!F9)</f>
        <v>0</v>
      </c>
      <c r="H51" s="702">
        <f>SUM('3.Market-Rate For-Sale Housing'!G18,'3.Market-Rate For-Sale Housing'!G27,'3.Market-Rate For-Sale Housing'!G9)</f>
        <v>4</v>
      </c>
      <c r="I51" s="700">
        <f>SUM('3.Market-Rate For-Sale Housing'!H18,'3.Market-Rate For-Sale Housing'!H27,'3.Market-Rate For-Sale Housing'!H9)</f>
        <v>109</v>
      </c>
      <c r="J51" s="701">
        <f>SUM('3.Market-Rate For-Sale Housing'!I18,'3.Market-Rate For-Sale Housing'!I27,'3.Market-Rate For-Sale Housing'!I9)</f>
        <v>53</v>
      </c>
      <c r="K51" s="700">
        <f>SUM('3.Market-Rate For-Sale Housing'!J18,'3.Market-Rate For-Sale Housing'!J27,'3.Market-Rate For-Sale Housing'!J9)</f>
        <v>0</v>
      </c>
      <c r="L51" s="700">
        <f>SUM('3.Market-Rate For-Sale Housing'!K18,'3.Market-Rate For-Sale Housing'!K27,'3.Market-Rate For-Sale Housing'!K9)</f>
        <v>200</v>
      </c>
      <c r="M51" s="700">
        <f>SUM('3.Market-Rate For-Sale Housing'!L18,'3.Market-Rate For-Sale Housing'!L27,'3.Market-Rate For-Sale Housing'!L9)</f>
        <v>26</v>
      </c>
      <c r="N51" s="701">
        <f>SUM('3.Market-Rate For-Sale Housing'!M18,'3.Market-Rate For-Sale Housing'!M27,'3.Market-Rate For-Sale Housing'!M9)</f>
        <v>0</v>
      </c>
    </row>
    <row r="52" spans="1:14">
      <c r="A52" s="665" t="s">
        <v>67</v>
      </c>
      <c r="B52" s="694"/>
      <c r="C52" s="828">
        <f>SUM('4.Affordable Rental Housing'!C58:C60)</f>
        <v>244.51900000000001</v>
      </c>
      <c r="D52" s="682">
        <f>SUM('4.Affordable Rental Housing'!C9,'4.Affordable Rental Housing'!C19,'4.Affordable Rental Housing'!C29)</f>
        <v>0</v>
      </c>
      <c r="E52" s="683">
        <f>SUM('4.Affordable Rental Housing'!D9,'4.Affordable Rental Housing'!D19,'4.Affordable Rental Housing'!D29)</f>
        <v>0</v>
      </c>
      <c r="F52" s="682">
        <f>SUM('4.Affordable Rental Housing'!E9,'4.Affordable Rental Housing'!E19,'4.Affordable Rental Housing'!E29)</f>
        <v>10</v>
      </c>
      <c r="G52" s="684">
        <f>SUM('4.Affordable Rental Housing'!F9,'4.Affordable Rental Housing'!F19,'4.Affordable Rental Housing'!F29)</f>
        <v>5</v>
      </c>
      <c r="H52" s="683">
        <f>SUM('4.Affordable Rental Housing'!G9,'4.Affordable Rental Housing'!G19,'4.Affordable Rental Housing'!G29)</f>
        <v>20</v>
      </c>
      <c r="I52" s="682">
        <f>SUM('4.Affordable Rental Housing'!H9,'4.Affordable Rental Housing'!H19,'4.Affordable Rental Housing'!H29)</f>
        <v>15</v>
      </c>
      <c r="J52" s="684">
        <f>SUM('4.Affordable Rental Housing'!I9,'4.Affordable Rental Housing'!I19,'4.Affordable Rental Housing'!I29)</f>
        <v>0</v>
      </c>
      <c r="K52" s="682">
        <f>SUM('4.Affordable Rental Housing'!J9,'4.Affordable Rental Housing'!J19,'4.Affordable Rental Housing'!J29)</f>
        <v>120</v>
      </c>
      <c r="L52" s="682">
        <f>SUM('4.Affordable Rental Housing'!K9,'4.Affordable Rental Housing'!K19,'4.Affordable Rental Housing'!K29)</f>
        <v>60</v>
      </c>
      <c r="M52" s="682">
        <f>SUM('4.Affordable Rental Housing'!L9,'4.Affordable Rental Housing'!L19,'4.Affordable Rental Housing'!L29)</f>
        <v>15</v>
      </c>
      <c r="N52" s="684">
        <f>SUM('4.Affordable Rental Housing'!M9,'4.Affordable Rental Housing'!M19,'4.Affordable Rental Housing'!M29)</f>
        <v>0</v>
      </c>
    </row>
    <row r="53" spans="1:14">
      <c r="A53" s="665" t="s">
        <v>413</v>
      </c>
      <c r="B53" s="694"/>
      <c r="C53" s="828">
        <f>SUM('5.Affordable For-Sale Housing '!C53:C55)</f>
        <v>75</v>
      </c>
      <c r="D53" s="682">
        <f>SUM('5.Affordable For-Sale Housing '!C9,'5.Affordable For-Sale Housing '!C18,'5.Affordable For-Sale Housing '!C27)</f>
        <v>0</v>
      </c>
      <c r="E53" s="683">
        <f>SUM('5.Affordable For-Sale Housing '!D9,'5.Affordable For-Sale Housing '!D18,'5.Affordable For-Sale Housing '!D27)</f>
        <v>10</v>
      </c>
      <c r="F53" s="682">
        <f>SUM('5.Affordable For-Sale Housing '!E9,'5.Affordable For-Sale Housing '!E18,'5.Affordable For-Sale Housing '!E27)</f>
        <v>0</v>
      </c>
      <c r="G53" s="684">
        <f>SUM('5.Affordable For-Sale Housing '!F9,'5.Affordable For-Sale Housing '!F18,'5.Affordable For-Sale Housing '!F27)</f>
        <v>0</v>
      </c>
      <c r="H53" s="683">
        <f>SUM('5.Affordable For-Sale Housing '!G9,'5.Affordable For-Sale Housing '!G18,'5.Affordable For-Sale Housing '!G27)</f>
        <v>0</v>
      </c>
      <c r="I53" s="682">
        <f>SUM('5.Affordable For-Sale Housing '!H9,'5.Affordable For-Sale Housing '!H18,'5.Affordable For-Sale Housing '!H27)</f>
        <v>10</v>
      </c>
      <c r="J53" s="684">
        <f>SUM('5.Affordable For-Sale Housing '!I9,'5.Affordable For-Sale Housing '!I18,'5.Affordable For-Sale Housing '!I27)</f>
        <v>5</v>
      </c>
      <c r="K53" s="682">
        <f>SUM('5.Affordable For-Sale Housing '!J9,'5.Affordable For-Sale Housing '!J18,'5.Affordable For-Sale Housing '!J27)</f>
        <v>0</v>
      </c>
      <c r="L53" s="682">
        <f>SUM('5.Affordable For-Sale Housing '!K9,'5.Affordable For-Sale Housing '!K18,'5.Affordable For-Sale Housing '!K27)</f>
        <v>0</v>
      </c>
      <c r="M53" s="682">
        <f>SUM('5.Affordable For-Sale Housing '!L9,'5.Affordable For-Sale Housing '!L18,'5.Affordable For-Sale Housing '!L27)</f>
        <v>50</v>
      </c>
      <c r="N53" s="684">
        <f>SUM('5.Affordable For-Sale Housing '!M9,'5.Affordable For-Sale Housing '!M18,'5.Affordable For-Sale Housing '!M27)</f>
        <v>0</v>
      </c>
    </row>
    <row r="54" spans="1:14">
      <c r="A54" s="651" t="s">
        <v>49</v>
      </c>
      <c r="B54" s="650"/>
      <c r="C54" s="829">
        <f>'9.Hotel'!C33</f>
        <v>665</v>
      </c>
      <c r="D54" s="682">
        <f>'9.Hotel'!C8</f>
        <v>0</v>
      </c>
      <c r="E54" s="683">
        <f>'9.Hotel'!D8</f>
        <v>0</v>
      </c>
      <c r="F54" s="682">
        <f>'9.Hotel'!E8</f>
        <v>443.4226666666666</v>
      </c>
      <c r="G54" s="684">
        <f>'9.Hotel'!F8</f>
        <v>221.7113333333333</v>
      </c>
      <c r="H54" s="683">
        <f>'9.Hotel'!G8</f>
        <v>0</v>
      </c>
      <c r="I54" s="682">
        <f>'9.Hotel'!H8</f>
        <v>0</v>
      </c>
      <c r="J54" s="684">
        <f>'9.Hotel'!I8</f>
        <v>0</v>
      </c>
      <c r="K54" s="682">
        <f>'9.Hotel'!J8</f>
        <v>0</v>
      </c>
      <c r="L54" s="682">
        <f>'9.Hotel'!K8</f>
        <v>0</v>
      </c>
      <c r="M54" s="682">
        <f>'9.Hotel'!L8</f>
        <v>0</v>
      </c>
      <c r="N54" s="684">
        <f>'9.Hotel'!M8</f>
        <v>0</v>
      </c>
    </row>
    <row r="55" spans="1:14" ht="15.75" thickBot="1">
      <c r="A55" s="651" t="s">
        <v>50</v>
      </c>
      <c r="B55" s="650"/>
      <c r="C55" s="830">
        <f>SUM('10.Structured Parking'!C106:C109)</f>
        <v>3920.2828125000005</v>
      </c>
      <c r="D55" s="703">
        <f>D66/'10.Structured Parking'!$D$112</f>
        <v>0</v>
      </c>
      <c r="E55" s="704">
        <f>E66/'10.Structured Parking'!$D$112</f>
        <v>527.68062499999996</v>
      </c>
      <c r="F55" s="703">
        <f>F66/'10.Structured Parking'!$D$112</f>
        <v>434.68656250000004</v>
      </c>
      <c r="G55" s="705">
        <f>G66/'10.Structured Parking'!$D$112</f>
        <v>0</v>
      </c>
      <c r="H55" s="704">
        <f>H66/'10.Structured Parking'!$D$112</f>
        <v>1611.0718750000001</v>
      </c>
      <c r="I55" s="703">
        <f>I66/'10.Structured Parking'!$D$112</f>
        <v>528.30937500000005</v>
      </c>
      <c r="J55" s="705">
        <f>J66/'10.Structured Parking'!$D$112</f>
        <v>0</v>
      </c>
      <c r="K55" s="703">
        <f>K66/'10.Structured Parking'!$D$112</f>
        <v>0</v>
      </c>
      <c r="L55" s="703">
        <f>L66/'10.Structured Parking'!$D$112</f>
        <v>545.6895833333333</v>
      </c>
      <c r="M55" s="703">
        <f>M66/'10.Structured Parking'!$D$112</f>
        <v>272.84479166666665</v>
      </c>
      <c r="N55" s="705">
        <f>N66/'10.Structured Parking'!$D$112</f>
        <v>0</v>
      </c>
    </row>
    <row r="56" spans="1:14" ht="15.75" hidden="1" thickBot="1">
      <c r="A56" s="651" t="s">
        <v>51</v>
      </c>
      <c r="B56" s="650"/>
      <c r="C56" s="830">
        <f>SUM('11.Surface Parking'!C83:C85)</f>
        <v>0</v>
      </c>
      <c r="D56" s="703">
        <f>D67/'11.Surface Parking'!$D$88</f>
        <v>0</v>
      </c>
      <c r="E56" s="704">
        <f>E67/'11.Surface Parking'!$D$88</f>
        <v>0</v>
      </c>
      <c r="F56" s="703">
        <f>F67/'11.Surface Parking'!$D$88</f>
        <v>0</v>
      </c>
      <c r="G56" s="705">
        <f>G67/'11.Surface Parking'!$D$88</f>
        <v>0</v>
      </c>
      <c r="H56" s="704">
        <f>H67/'11.Surface Parking'!$D$88</f>
        <v>0</v>
      </c>
      <c r="I56" s="703">
        <f>I67/'11.Surface Parking'!$D$88</f>
        <v>0</v>
      </c>
      <c r="J56" s="705">
        <f>J67/'11.Surface Parking'!$D$88</f>
        <v>0</v>
      </c>
      <c r="K56" s="703">
        <f>K67/'11.Surface Parking'!$D$88</f>
        <v>0</v>
      </c>
      <c r="L56" s="703">
        <f>L67/'11.Surface Parking'!$D$88</f>
        <v>0</v>
      </c>
      <c r="M56" s="703">
        <f>M67/'11.Surface Parking'!$D$88</f>
        <v>0</v>
      </c>
      <c r="N56" s="705">
        <f>N67/'11.Surface Parking'!$D$88</f>
        <v>0</v>
      </c>
    </row>
    <row r="57" spans="1:14" ht="16.5" thickBot="1">
      <c r="A57" s="22" t="s">
        <v>31</v>
      </c>
      <c r="B57" s="23"/>
      <c r="C57" s="17"/>
      <c r="D57" s="17"/>
      <c r="E57" s="474"/>
      <c r="F57" s="18"/>
      <c r="G57" s="24"/>
      <c r="H57" s="474"/>
      <c r="I57" s="18"/>
      <c r="J57" s="24"/>
      <c r="K57" s="18"/>
      <c r="L57" s="18"/>
      <c r="M57" s="18"/>
      <c r="N57" s="24"/>
    </row>
    <row r="58" spans="1:14">
      <c r="A58" s="665" t="s">
        <v>65</v>
      </c>
      <c r="B58" s="666"/>
      <c r="C58" s="681">
        <f>SUM('2.Market-Rate Rental Housing'!D78:D82)</f>
        <v>1210343.7</v>
      </c>
      <c r="D58" s="682">
        <f>D50*'2.Market-Rate Rental Housing'!$B$12</f>
        <v>0</v>
      </c>
      <c r="E58" s="683">
        <f>E50*'2.Market-Rate Rental Housing'!$B$12</f>
        <v>0</v>
      </c>
      <c r="F58" s="682">
        <f>F50*'2.Market-Rate Rental Housing'!$B$12</f>
        <v>94000</v>
      </c>
      <c r="G58" s="684">
        <f>G50*'2.Market-Rate Rental Housing'!$B$12</f>
        <v>47000</v>
      </c>
      <c r="H58" s="683">
        <f>H50*'2.Market-Rate Rental Housing'!$B$12</f>
        <v>339000</v>
      </c>
      <c r="I58" s="682">
        <f>I50*'2.Market-Rate Rental Housing'!$B$12</f>
        <v>81000</v>
      </c>
      <c r="J58" s="684">
        <f>J50*'2.Market-Rate Rental Housing'!$B$12</f>
        <v>40000</v>
      </c>
      <c r="K58" s="682">
        <f>K50*'2.Market-Rate Rental Housing'!$B$12</f>
        <v>397000</v>
      </c>
      <c r="L58" s="682">
        <f>L50*'2.Market-Rate Rental Housing'!$B$12</f>
        <v>198000</v>
      </c>
      <c r="M58" s="682">
        <f>M50*'2.Market-Rate Rental Housing'!$B$12</f>
        <v>15000</v>
      </c>
      <c r="N58" s="684">
        <f>N50*'2.Market-Rate Rental Housing'!$B$12</f>
        <v>0</v>
      </c>
    </row>
    <row r="59" spans="1:14">
      <c r="A59" s="665" t="s">
        <v>66</v>
      </c>
      <c r="B59" s="666"/>
      <c r="C59" s="681">
        <f>SUM('3.Market-Rate For-Sale Housing'!D53:D55)</f>
        <v>632973.5</v>
      </c>
      <c r="D59" s="682">
        <f>D51*'3.Market-Rate For-Sale Housing'!$B$21</f>
        <v>0</v>
      </c>
      <c r="E59" s="683">
        <f>E51*'3.Market-Rate For-Sale Housing'!$B$21</f>
        <v>242000</v>
      </c>
      <c r="F59" s="682">
        <f>F51*'3.Market-Rate For-Sale Housing'!$B$21</f>
        <v>0</v>
      </c>
      <c r="G59" s="684">
        <f>G51*'3.Market-Rate For-Sale Housing'!$B$21</f>
        <v>0</v>
      </c>
      <c r="H59" s="683">
        <f>H51*'3.Market-Rate For-Sale Housing'!$B$21</f>
        <v>4000</v>
      </c>
      <c r="I59" s="682">
        <f>I51*'3.Market-Rate For-Sale Housing'!$B$21</f>
        <v>109000</v>
      </c>
      <c r="J59" s="684">
        <f>J51*'3.Market-Rate For-Sale Housing'!$B$21</f>
        <v>53000</v>
      </c>
      <c r="K59" s="682">
        <f>K51*'3.Market-Rate For-Sale Housing'!$B$21</f>
        <v>0</v>
      </c>
      <c r="L59" s="682">
        <f>L51*'3.Market-Rate For-Sale Housing'!$B$21</f>
        <v>200000</v>
      </c>
      <c r="M59" s="682">
        <f>M51*'3.Market-Rate For-Sale Housing'!$B$21</f>
        <v>26000</v>
      </c>
      <c r="N59" s="684">
        <f>N51*'3.Market-Rate For-Sale Housing'!$B$21</f>
        <v>0</v>
      </c>
    </row>
    <row r="60" spans="1:14">
      <c r="A60" s="665" t="s">
        <v>67</v>
      </c>
      <c r="B60" s="666"/>
      <c r="C60" s="681">
        <f>SUM('4.Affordable Rental Housing'!D58:D60)</f>
        <v>244519</v>
      </c>
      <c r="D60" s="682">
        <f>D52*'4.Affordable Rental Housing'!$B$12</f>
        <v>0</v>
      </c>
      <c r="E60" s="683">
        <f>E52*'4.Affordable Rental Housing'!$B$12</f>
        <v>0</v>
      </c>
      <c r="F60" s="682">
        <f>F52*'4.Affordable Rental Housing'!$B$12</f>
        <v>10000</v>
      </c>
      <c r="G60" s="684">
        <f>G52*'4.Affordable Rental Housing'!$B$12</f>
        <v>5000</v>
      </c>
      <c r="H60" s="683">
        <f>H52*'4.Affordable Rental Housing'!$B$12</f>
        <v>20000</v>
      </c>
      <c r="I60" s="682">
        <f>I52*'4.Affordable Rental Housing'!$B$12</f>
        <v>15000</v>
      </c>
      <c r="J60" s="684">
        <f>J52*'4.Affordable Rental Housing'!$B$12</f>
        <v>0</v>
      </c>
      <c r="K60" s="682">
        <f>K52*'4.Affordable Rental Housing'!$B$12</f>
        <v>120000</v>
      </c>
      <c r="L60" s="682">
        <f>L52*'4.Affordable Rental Housing'!$B$12</f>
        <v>60000</v>
      </c>
      <c r="M60" s="682">
        <f>M52*'4.Affordable Rental Housing'!$B$12</f>
        <v>15000</v>
      </c>
      <c r="N60" s="684">
        <f>N52*'4.Affordable Rental Housing'!$B$12</f>
        <v>0</v>
      </c>
    </row>
    <row r="61" spans="1:14">
      <c r="A61" s="665" t="s">
        <v>413</v>
      </c>
      <c r="B61" s="666"/>
      <c r="C61" s="681">
        <f>SUM('5.Affordable For-Sale Housing '!D53:D55)</f>
        <v>75000</v>
      </c>
      <c r="D61" s="682">
        <f>D53*'5.Affordable For-Sale Housing '!$B$12</f>
        <v>0</v>
      </c>
      <c r="E61" s="683">
        <f>E53*'5.Affordable For-Sale Housing '!$B$12</f>
        <v>10000</v>
      </c>
      <c r="F61" s="682">
        <f>F53*'5.Affordable For-Sale Housing '!$B$12</f>
        <v>0</v>
      </c>
      <c r="G61" s="684">
        <f>G53*'5.Affordable For-Sale Housing '!$B$12</f>
        <v>0</v>
      </c>
      <c r="H61" s="683">
        <f>H53*'5.Affordable For-Sale Housing '!$B$12</f>
        <v>0</v>
      </c>
      <c r="I61" s="682">
        <f>I53*'5.Affordable For-Sale Housing '!$B$12</f>
        <v>10000</v>
      </c>
      <c r="J61" s="684">
        <f>J53*'5.Affordable For-Sale Housing '!$B$12</f>
        <v>5000</v>
      </c>
      <c r="K61" s="682">
        <f>K53*'5.Affordable For-Sale Housing '!$B$12</f>
        <v>0</v>
      </c>
      <c r="L61" s="682">
        <f>L53*'5.Affordable For-Sale Housing '!$B$12</f>
        <v>0</v>
      </c>
      <c r="M61" s="682">
        <f>M53*'5.Affordable For-Sale Housing '!$B$12</f>
        <v>50000</v>
      </c>
      <c r="N61" s="684">
        <f>N53*'5.Affordable For-Sale Housing '!$B$12</f>
        <v>0</v>
      </c>
    </row>
    <row r="62" spans="1:14">
      <c r="A62" s="665" t="s">
        <v>68</v>
      </c>
      <c r="B62" s="650"/>
      <c r="C62" s="681">
        <f>SUM('6.Office'!C47:C48)</f>
        <v>785249.32799999998</v>
      </c>
      <c r="D62" s="682">
        <f>'Development Schedule'!D83</f>
        <v>0</v>
      </c>
      <c r="E62" s="683">
        <f>'Development Schedule'!E83</f>
        <v>277586.66666666663</v>
      </c>
      <c r="F62" s="682">
        <f>'Development Schedule'!F83</f>
        <v>154152.33333333331</v>
      </c>
      <c r="G62" s="684">
        <f>'Development Schedule'!G83</f>
        <v>0</v>
      </c>
      <c r="H62" s="683">
        <f>'Development Schedule'!H83</f>
        <v>0</v>
      </c>
      <c r="I62" s="682">
        <f>'Development Schedule'!I83</f>
        <v>353510.32799999998</v>
      </c>
      <c r="J62" s="684">
        <f>'Development Schedule'!J83</f>
        <v>0</v>
      </c>
      <c r="K62" s="682">
        <f>'Development Schedule'!K83</f>
        <v>0</v>
      </c>
      <c r="L62" s="682">
        <f>'Development Schedule'!L83</f>
        <v>0</v>
      </c>
      <c r="M62" s="682">
        <f>'Development Schedule'!M83</f>
        <v>0</v>
      </c>
      <c r="N62" s="684">
        <f>'Development Schedule'!N83</f>
        <v>0</v>
      </c>
    </row>
    <row r="63" spans="1:14">
      <c r="A63" s="665" t="s">
        <v>441</v>
      </c>
      <c r="B63" s="650"/>
      <c r="C63" s="681">
        <f>SUM('7.Industrial &amp; School'!C56:C58)</f>
        <v>218582</v>
      </c>
      <c r="D63" s="682">
        <f>'Development Schedule'!D82</f>
        <v>0</v>
      </c>
      <c r="E63" s="683">
        <f>'Development Schedule'!E82</f>
        <v>0</v>
      </c>
      <c r="F63" s="682">
        <f>'Development Schedule'!F82</f>
        <v>36727</v>
      </c>
      <c r="G63" s="684">
        <f>'Development Schedule'!G82</f>
        <v>0</v>
      </c>
      <c r="H63" s="683">
        <f>'Development Schedule'!H82</f>
        <v>0</v>
      </c>
      <c r="I63" s="682">
        <f>'Development Schedule'!I82</f>
        <v>166473</v>
      </c>
      <c r="J63" s="684">
        <f>'Development Schedule'!J82</f>
        <v>15382</v>
      </c>
      <c r="K63" s="682">
        <f>'Development Schedule'!K82</f>
        <v>0</v>
      </c>
      <c r="L63" s="682">
        <f>'Development Schedule'!L82</f>
        <v>0</v>
      </c>
      <c r="M63" s="682">
        <f>'Development Schedule'!M82</f>
        <v>18333</v>
      </c>
      <c r="N63" s="684">
        <f>'Development Schedule'!N82</f>
        <v>0</v>
      </c>
    </row>
    <row r="64" spans="1:14">
      <c r="A64" s="665" t="s">
        <v>137</v>
      </c>
      <c r="B64" s="650"/>
      <c r="C64" s="681">
        <f>SUM('8.Market-Rate Retail'!C103:C110)</f>
        <v>521435.97</v>
      </c>
      <c r="D64" s="682">
        <f>'Development Schedule'!D77</f>
        <v>0</v>
      </c>
      <c r="E64" s="683">
        <f>'Development Schedule'!E77</f>
        <v>77635</v>
      </c>
      <c r="F64" s="682">
        <f>'Development Schedule'!F77</f>
        <v>71538.666666666657</v>
      </c>
      <c r="G64" s="684">
        <f>'Development Schedule'!G77</f>
        <v>35769.333333333328</v>
      </c>
      <c r="H64" s="683">
        <f>'Development Schedule'!H77</f>
        <v>161301.79999999999</v>
      </c>
      <c r="I64" s="682">
        <f>'Development Schedule'!I77</f>
        <v>75724.17</v>
      </c>
      <c r="J64" s="684">
        <f>'Development Schedule'!J77</f>
        <v>25008</v>
      </c>
      <c r="K64" s="682">
        <f>'Development Schedule'!K77</f>
        <v>0</v>
      </c>
      <c r="L64" s="682">
        <f>'Development Schedule'!L77</f>
        <v>42681</v>
      </c>
      <c r="M64" s="682">
        <f>'Development Schedule'!M77</f>
        <v>31778</v>
      </c>
      <c r="N64" s="684">
        <f>'Development Schedule'!N77</f>
        <v>0</v>
      </c>
    </row>
    <row r="65" spans="1:14">
      <c r="A65" s="665" t="s">
        <v>49</v>
      </c>
      <c r="B65" s="650"/>
      <c r="C65" s="681">
        <f>SUM('9.Hotel'!D33)</f>
        <v>332567</v>
      </c>
      <c r="D65" s="682">
        <f>'Development Schedule'!D76</f>
        <v>0</v>
      </c>
      <c r="E65" s="683">
        <f>'Development Schedule'!E76</f>
        <v>221711.33333333331</v>
      </c>
      <c r="F65" s="682">
        <f>'Development Schedule'!F76</f>
        <v>110855.66666666666</v>
      </c>
      <c r="G65" s="684">
        <f>'Development Schedule'!G76</f>
        <v>0</v>
      </c>
      <c r="H65" s="683">
        <f>'Development Schedule'!H76</f>
        <v>0</v>
      </c>
      <c r="I65" s="682">
        <f>'Development Schedule'!I76</f>
        <v>0</v>
      </c>
      <c r="J65" s="684">
        <f>'Development Schedule'!J76</f>
        <v>0</v>
      </c>
      <c r="K65" s="682">
        <f>'Development Schedule'!K76</f>
        <v>0</v>
      </c>
      <c r="L65" s="682">
        <f>'Development Schedule'!L76</f>
        <v>0</v>
      </c>
      <c r="M65" s="682">
        <f>'Development Schedule'!M76</f>
        <v>0</v>
      </c>
      <c r="N65" s="684">
        <f>'Development Schedule'!N76</f>
        <v>0</v>
      </c>
    </row>
    <row r="66" spans="1:14">
      <c r="A66" s="665" t="s">
        <v>50</v>
      </c>
      <c r="B66" s="650"/>
      <c r="C66" s="681">
        <f>SUM('10.Structured Parking'!D106:D109)</f>
        <v>1254490.5</v>
      </c>
      <c r="D66" s="682">
        <f>'Development Schedule'!D84</f>
        <v>0</v>
      </c>
      <c r="E66" s="683">
        <f>'Development Schedule'!E84</f>
        <v>168857.8</v>
      </c>
      <c r="F66" s="682">
        <f>'Development Schedule'!F84</f>
        <v>139099.70000000001</v>
      </c>
      <c r="G66" s="684">
        <f>'Development Schedule'!G84</f>
        <v>0</v>
      </c>
      <c r="H66" s="683">
        <f>'Development Schedule'!H84</f>
        <v>515543</v>
      </c>
      <c r="I66" s="682">
        <f>'Development Schedule'!I84</f>
        <v>169059</v>
      </c>
      <c r="J66" s="684">
        <f>'Development Schedule'!J84</f>
        <v>0</v>
      </c>
      <c r="K66" s="682">
        <f>'Development Schedule'!K84</f>
        <v>0</v>
      </c>
      <c r="L66" s="682">
        <f>'Development Schedule'!L84</f>
        <v>174620.66666666666</v>
      </c>
      <c r="M66" s="682">
        <f>'Development Schedule'!M84</f>
        <v>87310.333333333328</v>
      </c>
      <c r="N66" s="684">
        <f>'Development Schedule'!N84</f>
        <v>0</v>
      </c>
    </row>
    <row r="67" spans="1:14" hidden="1">
      <c r="A67" s="672" t="s">
        <v>51</v>
      </c>
      <c r="B67" s="657"/>
      <c r="C67" s="685">
        <f>SUM('11.Surface Parking'!D83:D85)</f>
        <v>0</v>
      </c>
      <c r="D67" s="686">
        <f>'Development Schedule'!D85</f>
        <v>0</v>
      </c>
      <c r="E67" s="687">
        <f>'Development Schedule'!E85</f>
        <v>0</v>
      </c>
      <c r="F67" s="686">
        <f>'Development Schedule'!F85</f>
        <v>0</v>
      </c>
      <c r="G67" s="688">
        <f>'Development Schedule'!G85</f>
        <v>0</v>
      </c>
      <c r="H67" s="687">
        <f>'Development Schedule'!H85</f>
        <v>0</v>
      </c>
      <c r="I67" s="686">
        <f>'Development Schedule'!I85</f>
        <v>0</v>
      </c>
      <c r="J67" s="688">
        <f>'Development Schedule'!J85</f>
        <v>0</v>
      </c>
      <c r="K67" s="686">
        <f>'Development Schedule'!K85</f>
        <v>0</v>
      </c>
      <c r="L67" s="686">
        <f>'Development Schedule'!L85</f>
        <v>0</v>
      </c>
      <c r="M67" s="686">
        <f>'Development Schedule'!M85</f>
        <v>0</v>
      </c>
      <c r="N67" s="688">
        <f>'Development Schedule'!N85</f>
        <v>0</v>
      </c>
    </row>
    <row r="68" spans="1:14" ht="16.5" thickBot="1">
      <c r="A68" s="689" t="s">
        <v>32</v>
      </c>
      <c r="B68" s="659"/>
      <c r="C68" s="690"/>
      <c r="D68" s="691">
        <f>SUM(D58:D67)</f>
        <v>0</v>
      </c>
      <c r="E68" s="692">
        <f t="shared" ref="E68:N68" si="8">SUM(E58:E67)</f>
        <v>997790.8</v>
      </c>
      <c r="F68" s="691">
        <f t="shared" si="8"/>
        <v>616373.3666666667</v>
      </c>
      <c r="G68" s="693">
        <f t="shared" si="8"/>
        <v>87769.333333333328</v>
      </c>
      <c r="H68" s="692">
        <f t="shared" si="8"/>
        <v>1039844.8</v>
      </c>
      <c r="I68" s="691">
        <f t="shared" si="8"/>
        <v>979766.49800000002</v>
      </c>
      <c r="J68" s="693">
        <f t="shared" si="8"/>
        <v>138390</v>
      </c>
      <c r="K68" s="691">
        <f t="shared" si="8"/>
        <v>517000</v>
      </c>
      <c r="L68" s="691">
        <f t="shared" si="8"/>
        <v>675301.66666666663</v>
      </c>
      <c r="M68" s="691">
        <f t="shared" si="8"/>
        <v>243421.33333333331</v>
      </c>
      <c r="N68" s="693">
        <f t="shared" si="8"/>
        <v>0</v>
      </c>
    </row>
    <row r="69" spans="1:14" s="10" customFormat="1" ht="16.5" thickBot="1">
      <c r="A69" s="554"/>
      <c r="B69" s="498"/>
      <c r="C69" s="499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</row>
    <row r="70" spans="1:14" ht="16.5" thickBot="1">
      <c r="A70" s="83" t="s">
        <v>140</v>
      </c>
      <c r="B70" s="84"/>
      <c r="C70" s="84"/>
      <c r="D70" s="84"/>
      <c r="E70" s="84"/>
      <c r="F70" s="85"/>
      <c r="G70" s="497"/>
      <c r="H70" s="10"/>
      <c r="I70" s="86" t="s">
        <v>252</v>
      </c>
      <c r="J70" s="87"/>
      <c r="K70" s="87"/>
      <c r="L70" s="87"/>
      <c r="M70" s="87"/>
      <c r="N70" s="88"/>
    </row>
    <row r="71" spans="1:14" s="14" customFormat="1" ht="16.5" customHeight="1" thickBot="1">
      <c r="A71" s="662" t="s">
        <v>2</v>
      </c>
      <c r="B71" s="645"/>
      <c r="C71" s="663"/>
      <c r="D71" s="664"/>
      <c r="E71" s="646" t="s">
        <v>53</v>
      </c>
      <c r="F71" s="647" t="s">
        <v>35</v>
      </c>
      <c r="G71" s="8"/>
      <c r="H71" s="13"/>
      <c r="I71" s="643"/>
      <c r="J71" s="644"/>
      <c r="K71" s="644"/>
      <c r="L71" s="645"/>
      <c r="M71" s="646" t="s">
        <v>52</v>
      </c>
      <c r="N71" s="647" t="s">
        <v>76</v>
      </c>
    </row>
    <row r="72" spans="1:14" ht="15.75">
      <c r="A72" s="665" t="s">
        <v>65</v>
      </c>
      <c r="B72" s="666"/>
      <c r="C72" s="666"/>
      <c r="D72" s="650"/>
      <c r="E72" s="960">
        <f>F72/C50</f>
        <v>284726.88226914016</v>
      </c>
      <c r="F72" s="966">
        <f t="shared" ref="F72:F80" si="9">SUM(D17:N17)</f>
        <v>344617388.1750955</v>
      </c>
      <c r="G72" s="11"/>
      <c r="H72" s="10"/>
      <c r="I72" s="1057" t="s">
        <v>77</v>
      </c>
      <c r="J72" s="498"/>
      <c r="K72" s="498"/>
      <c r="L72" s="1058"/>
      <c r="M72" s="950"/>
      <c r="N72" s="1063"/>
    </row>
    <row r="73" spans="1:14">
      <c r="A73" s="665" t="s">
        <v>66</v>
      </c>
      <c r="B73" s="666"/>
      <c r="C73" s="666"/>
      <c r="D73" s="650"/>
      <c r="E73" s="961">
        <f>F73/C51</f>
        <v>277341.93553060829</v>
      </c>
      <c r="F73" s="930">
        <f t="shared" si="9"/>
        <v>175550095.62958348</v>
      </c>
      <c r="G73" s="11"/>
      <c r="H73" s="10"/>
      <c r="I73" s="651" t="s">
        <v>436</v>
      </c>
      <c r="J73" s="650"/>
      <c r="K73" s="650"/>
      <c r="L73" s="1059"/>
      <c r="M73" s="653">
        <f>Budget!C12</f>
        <v>397030237.55734479</v>
      </c>
      <c r="N73" s="654">
        <f>M73/$M$85</f>
        <v>0.290703249561441</v>
      </c>
    </row>
    <row r="74" spans="1:14">
      <c r="A74" s="665" t="s">
        <v>67</v>
      </c>
      <c r="B74" s="666"/>
      <c r="C74" s="666"/>
      <c r="D74" s="650"/>
      <c r="E74" s="962">
        <f>F74/C52</f>
        <v>293749.56402867963</v>
      </c>
      <c r="F74" s="930">
        <f t="shared" si="9"/>
        <v>71827349.646728709</v>
      </c>
      <c r="G74" s="11"/>
      <c r="H74" s="10"/>
      <c r="I74" s="651" t="s">
        <v>435</v>
      </c>
      <c r="J74" s="650"/>
      <c r="K74" s="650"/>
      <c r="L74" s="1065"/>
      <c r="M74" s="653">
        <f>Budget!C13</f>
        <v>48300000</v>
      </c>
      <c r="N74" s="654">
        <f>M74/$M$85</f>
        <v>3.5364981368175015E-2</v>
      </c>
    </row>
    <row r="75" spans="1:14">
      <c r="A75" s="694" t="s">
        <v>413</v>
      </c>
      <c r="B75" s="666"/>
      <c r="C75" s="666"/>
      <c r="D75" s="650"/>
      <c r="E75" s="961">
        <f>F75/C53</f>
        <v>298697.43964676239</v>
      </c>
      <c r="F75" s="930">
        <f t="shared" si="9"/>
        <v>22402307.973507177</v>
      </c>
      <c r="G75" s="11"/>
      <c r="H75" s="10"/>
      <c r="I75" s="651"/>
      <c r="J75" s="650"/>
      <c r="K75" s="650"/>
      <c r="L75" s="1065"/>
      <c r="M75" s="653"/>
      <c r="N75" s="654"/>
    </row>
    <row r="76" spans="1:14" ht="15.75">
      <c r="A76" s="21" t="s">
        <v>393</v>
      </c>
      <c r="E76" s="963">
        <f>F76/C62</f>
        <v>240.6656175886406</v>
      </c>
      <c r="F76" s="967">
        <f t="shared" si="9"/>
        <v>188982514.48418501</v>
      </c>
      <c r="G76" s="11"/>
      <c r="H76" s="10"/>
      <c r="I76" s="648" t="s">
        <v>78</v>
      </c>
      <c r="J76" s="649"/>
      <c r="K76" s="649"/>
      <c r="L76" s="1060"/>
      <c r="M76" s="651"/>
      <c r="N76" s="654"/>
    </row>
    <row r="77" spans="1:14">
      <c r="A77" s="665" t="s">
        <v>442</v>
      </c>
      <c r="B77" s="650"/>
      <c r="C77" s="666"/>
      <c r="D77" s="650"/>
      <c r="E77" s="961">
        <f>F77/C63</f>
        <v>194.9330911010378</v>
      </c>
      <c r="F77" s="930">
        <f t="shared" si="9"/>
        <v>42608864.919047043</v>
      </c>
      <c r="G77" s="11"/>
      <c r="H77" s="10"/>
      <c r="I77" s="651" t="s">
        <v>457</v>
      </c>
      <c r="J77" s="650"/>
      <c r="K77" s="650"/>
      <c r="L77" s="1060"/>
      <c r="M77" s="655">
        <f>Budget!C11</f>
        <v>887742585.6147176</v>
      </c>
      <c r="N77" s="654">
        <f>M77/$M$85</f>
        <v>0.65</v>
      </c>
    </row>
    <row r="78" spans="1:14">
      <c r="A78" s="665" t="s">
        <v>69</v>
      </c>
      <c r="B78" s="650"/>
      <c r="C78" s="666"/>
      <c r="D78" s="650"/>
      <c r="E78" s="961">
        <f>F78/C64</f>
        <v>226.57161283522584</v>
      </c>
      <c r="F78" s="930">
        <f t="shared" si="9"/>
        <v>118142588.71320042</v>
      </c>
      <c r="G78" s="11"/>
      <c r="H78" s="10"/>
      <c r="I78" s="651"/>
      <c r="J78" s="650"/>
      <c r="K78" s="650"/>
      <c r="L78" s="1060"/>
      <c r="M78" s="651"/>
      <c r="N78" s="652"/>
    </row>
    <row r="79" spans="1:14" ht="15.75">
      <c r="A79" s="665" t="s">
        <v>49</v>
      </c>
      <c r="B79" s="650"/>
      <c r="C79" s="666"/>
      <c r="D79" s="650"/>
      <c r="E79" s="964">
        <f>F79/C54</f>
        <v>134614.86508881711</v>
      </c>
      <c r="F79" s="930">
        <f t="shared" si="9"/>
        <v>89518885.284063384</v>
      </c>
      <c r="G79" s="11"/>
      <c r="H79" s="10"/>
      <c r="I79" s="648" t="s">
        <v>79</v>
      </c>
      <c r="J79" s="649"/>
      <c r="K79" s="649"/>
      <c r="L79" s="1060"/>
      <c r="M79" s="651"/>
      <c r="N79" s="652"/>
    </row>
    <row r="80" spans="1:14" ht="15.75">
      <c r="A80" s="665" t="s">
        <v>191</v>
      </c>
      <c r="B80" s="650"/>
      <c r="C80" s="666"/>
      <c r="D80" s="650"/>
      <c r="E80" s="964">
        <f>F80/(C55)</f>
        <v>17505.492504412268</v>
      </c>
      <c r="F80" s="930">
        <f t="shared" si="9"/>
        <v>68626481.389394999</v>
      </c>
      <c r="G80" s="11"/>
      <c r="H80" s="10"/>
      <c r="I80" s="651" t="s">
        <v>473</v>
      </c>
      <c r="J80" s="649"/>
      <c r="K80" s="649"/>
      <c r="L80" s="1060"/>
      <c r="M80" s="1070">
        <f>E91</f>
        <v>7846334</v>
      </c>
      <c r="N80" s="654">
        <f>M80/$M$85</f>
        <v>5.7450404910657999E-3</v>
      </c>
    </row>
    <row r="81" spans="1:14" ht="18">
      <c r="A81" s="665" t="s">
        <v>240</v>
      </c>
      <c r="B81" s="650"/>
      <c r="C81" s="666"/>
      <c r="D81" s="650"/>
      <c r="E81" s="961">
        <f>F81/'Land Acquisition'!D7</f>
        <v>157.37933613257394</v>
      </c>
      <c r="F81" s="667">
        <f>SUM(D27:N27)</f>
        <v>212648913.05096418</v>
      </c>
      <c r="G81" s="11"/>
      <c r="H81" s="10"/>
      <c r="I81" s="959" t="s">
        <v>462</v>
      </c>
      <c r="J81" s="650"/>
      <c r="K81" s="650"/>
      <c r="L81" s="1060"/>
      <c r="M81" s="656">
        <f>Budget!C15</f>
        <v>3500000</v>
      </c>
      <c r="N81" s="654">
        <f>M81/$M$85</f>
        <v>2.5626798092880446E-3</v>
      </c>
    </row>
    <row r="82" spans="1:14" ht="19.5" thickBot="1">
      <c r="A82" s="665" t="s">
        <v>237</v>
      </c>
      <c r="B82" s="650"/>
      <c r="C82" s="666"/>
      <c r="D82" s="650"/>
      <c r="E82" s="965">
        <v>1.25</v>
      </c>
      <c r="F82" s="968">
        <f>SUM(D29:N29)</f>
        <v>1688983.75</v>
      </c>
      <c r="G82" s="8"/>
      <c r="H82" s="10"/>
      <c r="I82" s="959" t="s">
        <v>461</v>
      </c>
      <c r="J82" s="650"/>
      <c r="K82" s="650"/>
      <c r="L82" s="1060"/>
      <c r="M82" s="656">
        <f>Budget!C16</f>
        <v>10167750</v>
      </c>
      <c r="N82" s="654">
        <f t="shared" ref="N82:N83" si="10">M82/$M$85</f>
        <v>7.4447678945395758E-3</v>
      </c>
    </row>
    <row r="83" spans="1:14" ht="19.5" thickBot="1">
      <c r="A83" s="662" t="s">
        <v>423</v>
      </c>
      <c r="B83" s="945"/>
      <c r="C83" s="946"/>
      <c r="D83" s="945"/>
      <c r="E83" s="947"/>
      <c r="F83" s="948">
        <f>Budget!C7</f>
        <v>6570000</v>
      </c>
      <c r="G83" s="771"/>
      <c r="H83" s="10"/>
      <c r="I83" s="959" t="s">
        <v>463</v>
      </c>
      <c r="J83" s="650"/>
      <c r="K83" s="650"/>
      <c r="L83" s="1060"/>
      <c r="M83" s="656">
        <f>Budget!C17</f>
        <v>3900000</v>
      </c>
      <c r="N83" s="654">
        <f t="shared" si="10"/>
        <v>2.8555575017781068E-3</v>
      </c>
    </row>
    <row r="84" spans="1:14" ht="19.5" thickBot="1">
      <c r="A84" s="662" t="s">
        <v>139</v>
      </c>
      <c r="B84" s="668"/>
      <c r="C84" s="668"/>
      <c r="D84" s="669"/>
      <c r="E84" s="646" t="s">
        <v>55</v>
      </c>
      <c r="F84" s="647" t="s">
        <v>56</v>
      </c>
      <c r="G84" s="771"/>
      <c r="H84" s="10"/>
      <c r="I84" s="959" t="s">
        <v>464</v>
      </c>
      <c r="J84" s="10"/>
      <c r="K84" s="10"/>
      <c r="L84" s="926"/>
      <c r="M84" s="656">
        <f>Budget!C18</f>
        <v>7270916.8505800003</v>
      </c>
      <c r="N84" s="654">
        <f>M84/$M$85</f>
        <v>5.3237233737124532E-3</v>
      </c>
    </row>
    <row r="85" spans="1:14" ht="19.5" thickBot="1">
      <c r="A85" s="665" t="s">
        <v>347</v>
      </c>
      <c r="B85" s="650"/>
      <c r="C85" s="666"/>
      <c r="D85" s="650"/>
      <c r="E85" s="1071">
        <f>SUM('1.Infrastructure Costs'!D12:N12)</f>
        <v>432600</v>
      </c>
      <c r="F85" s="1071">
        <f>E85</f>
        <v>432600</v>
      </c>
      <c r="G85" s="752"/>
      <c r="H85" s="10"/>
      <c r="I85" s="658" t="s">
        <v>460</v>
      </c>
      <c r="J85" s="659"/>
      <c r="K85" s="659"/>
      <c r="L85" s="1056"/>
      <c r="M85" s="660">
        <f>SUM(M73:M84)</f>
        <v>1365757824.0226424</v>
      </c>
      <c r="N85" s="661">
        <f>SUM(N73:N84)</f>
        <v>1.0000000000000002</v>
      </c>
    </row>
    <row r="86" spans="1:14" ht="15" customHeight="1" thickBot="1">
      <c r="A86" s="665" t="s">
        <v>348</v>
      </c>
      <c r="B86" s="650"/>
      <c r="C86" s="666"/>
      <c r="D86" s="650"/>
      <c r="E86" s="655">
        <f>SUM('1.Infrastructure Costs'!D13:N13)</f>
        <v>2734650</v>
      </c>
      <c r="F86" s="1055">
        <f t="shared" ref="F86:F89" si="11">E86</f>
        <v>2734650</v>
      </c>
      <c r="G86" s="10"/>
      <c r="H86" s="10"/>
      <c r="I86" s="1117" t="s">
        <v>472</v>
      </c>
      <c r="J86" s="1117"/>
      <c r="K86" s="1117"/>
      <c r="L86" s="1117"/>
      <c r="M86" s="1117"/>
      <c r="N86" s="1117"/>
    </row>
    <row r="87" spans="1:14" ht="15.6" customHeight="1" thickBot="1">
      <c r="A87" s="665" t="s">
        <v>446</v>
      </c>
      <c r="B87" s="650"/>
      <c r="C87" s="666"/>
      <c r="D87" s="650"/>
      <c r="E87" s="655">
        <f>SUM('1.Infrastructure Costs'!D14:N14)</f>
        <v>2291544</v>
      </c>
      <c r="F87" s="1055">
        <f t="shared" si="11"/>
        <v>2291544</v>
      </c>
      <c r="G87" s="10"/>
      <c r="H87" s="10"/>
      <c r="I87" s="1118"/>
      <c r="J87" s="1118"/>
      <c r="K87" s="1118"/>
      <c r="L87" s="1118"/>
      <c r="M87" s="1118"/>
      <c r="N87" s="1118"/>
    </row>
    <row r="88" spans="1:14" ht="15.75" thickBot="1">
      <c r="A88" s="665" t="s">
        <v>466</v>
      </c>
      <c r="B88" s="650"/>
      <c r="C88" s="666"/>
      <c r="D88" s="650"/>
      <c r="E88" s="655">
        <f>SUM('1.Infrastructure Costs'!D15:N15)</f>
        <v>636540</v>
      </c>
      <c r="F88" s="1055">
        <f t="shared" si="11"/>
        <v>636540</v>
      </c>
      <c r="G88" s="10"/>
      <c r="H88" s="10"/>
      <c r="I88" s="21" t="s">
        <v>467</v>
      </c>
    </row>
    <row r="89" spans="1:14" ht="15.75" thickBot="1">
      <c r="A89" s="665" t="s">
        <v>445</v>
      </c>
      <c r="B89" s="650"/>
      <c r="C89" s="666"/>
      <c r="D89" s="650"/>
      <c r="E89" s="655">
        <f>SUM('1.Infrastructure Costs'!D16:N16)</f>
        <v>1751000</v>
      </c>
      <c r="F89" s="1055">
        <f t="shared" si="11"/>
        <v>1751000</v>
      </c>
      <c r="G89" s="10"/>
      <c r="H89" s="10"/>
      <c r="I89" s="1119" t="s">
        <v>468</v>
      </c>
      <c r="J89" s="1119"/>
      <c r="K89" s="1119"/>
      <c r="L89" s="1119"/>
      <c r="M89" s="1119"/>
      <c r="N89" s="1119"/>
    </row>
    <row r="90" spans="1:14" ht="15.75" thickBot="1">
      <c r="A90" s="958" t="s">
        <v>54</v>
      </c>
      <c r="B90" s="657"/>
      <c r="C90" s="673"/>
      <c r="D90" s="657"/>
      <c r="E90" s="767"/>
      <c r="F90" s="1055">
        <f>SUM('1.Infrastructure Costs'!D9:N9)</f>
        <v>14727117.006872624</v>
      </c>
      <c r="G90" s="10"/>
      <c r="H90" s="10"/>
      <c r="I90" s="1119"/>
      <c r="J90" s="1119"/>
      <c r="K90" s="1119"/>
      <c r="L90" s="1119"/>
      <c r="M90" s="1119"/>
      <c r="N90" s="1119"/>
    </row>
    <row r="91" spans="1:14" ht="16.5" customHeight="1" thickBot="1">
      <c r="A91" s="674" t="s">
        <v>34</v>
      </c>
      <c r="B91" s="675"/>
      <c r="C91" s="675"/>
      <c r="D91" s="650"/>
      <c r="E91" s="676">
        <f>SUM(E85:E90)</f>
        <v>7846334</v>
      </c>
      <c r="F91" s="676">
        <f>SUM(F85:F90)</f>
        <v>22573451.006872624</v>
      </c>
      <c r="G91" s="10"/>
      <c r="H91" s="752"/>
      <c r="I91" s="1120" t="s">
        <v>469</v>
      </c>
      <c r="J91" s="1120"/>
      <c r="K91" s="1120"/>
      <c r="L91" s="1120"/>
      <c r="M91" s="1120"/>
      <c r="N91" s="1120"/>
    </row>
    <row r="92" spans="1:14" ht="16.149999999999999" customHeight="1" thickBot="1">
      <c r="A92" s="662" t="s">
        <v>3</v>
      </c>
      <c r="B92" s="677"/>
      <c r="C92" s="677"/>
      <c r="D92" s="678"/>
      <c r="E92" s="679"/>
      <c r="F92" s="680">
        <f>SUM(F72:F83,F91)+E91-SUM(F85:F89)</f>
        <v>1365757824.0226424</v>
      </c>
      <c r="I92" s="1120"/>
      <c r="J92" s="1120"/>
      <c r="K92" s="1120"/>
      <c r="L92" s="1120"/>
      <c r="M92" s="1120"/>
      <c r="N92" s="1120"/>
    </row>
    <row r="93" spans="1:14" ht="16.5" customHeight="1" thickBot="1">
      <c r="D93" s="15"/>
      <c r="E93" s="27"/>
      <c r="G93" s="944"/>
      <c r="I93" s="955" t="s">
        <v>470</v>
      </c>
    </row>
    <row r="94" spans="1:14" ht="16.5" customHeight="1" thickBot="1">
      <c r="A94" s="756" t="s">
        <v>275</v>
      </c>
      <c r="B94" s="757"/>
      <c r="C94" s="757"/>
      <c r="D94" s="757"/>
      <c r="E94" s="757"/>
      <c r="F94" s="758"/>
      <c r="I94" s="21" t="s">
        <v>471</v>
      </c>
    </row>
    <row r="95" spans="1:14" ht="15.6" customHeight="1" thickBot="1">
      <c r="A95" s="759"/>
      <c r="B95" s="754"/>
      <c r="C95" s="760" t="s">
        <v>142</v>
      </c>
      <c r="D95" s="760" t="s">
        <v>143</v>
      </c>
      <c r="E95" s="760" t="s">
        <v>144</v>
      </c>
      <c r="F95" s="761" t="s">
        <v>32</v>
      </c>
    </row>
    <row r="96" spans="1:14" ht="19.5" thickBot="1">
      <c r="A96" s="762" t="s">
        <v>145</v>
      </c>
      <c r="B96" s="750"/>
      <c r="C96" s="763" t="s">
        <v>276</v>
      </c>
      <c r="D96" s="763" t="s">
        <v>277</v>
      </c>
      <c r="E96" s="763" t="s">
        <v>278</v>
      </c>
      <c r="F96" s="764" t="s">
        <v>283</v>
      </c>
      <c r="I96" s="756" t="s">
        <v>285</v>
      </c>
      <c r="J96" s="757"/>
      <c r="K96" s="757"/>
      <c r="L96" s="757"/>
      <c r="M96" s="757"/>
      <c r="N96" s="758"/>
    </row>
    <row r="97" spans="1:14" ht="15" customHeight="1">
      <c r="A97" s="665" t="s">
        <v>280</v>
      </c>
      <c r="B97" s="10"/>
      <c r="C97" s="765">
        <f>194.05</f>
        <v>194.05</v>
      </c>
      <c r="D97" s="770">
        <f>C97*0.2</f>
        <v>38.81</v>
      </c>
      <c r="E97" s="771">
        <f t="shared" ref="E97:E102" si="12">C97*0.04</f>
        <v>7.7620000000000005</v>
      </c>
      <c r="F97" s="768">
        <f t="shared" ref="F97:F104" si="13">SUM(C97:E97)</f>
        <v>240.62200000000001</v>
      </c>
      <c r="I97" s="753"/>
      <c r="J97" s="754"/>
      <c r="K97" s="755" t="s">
        <v>287</v>
      </c>
      <c r="L97" s="753"/>
      <c r="M97" s="754"/>
      <c r="N97" s="778"/>
    </row>
    <row r="98" spans="1:14" ht="19.5" thickBot="1">
      <c r="A98" s="36" t="s">
        <v>279</v>
      </c>
      <c r="B98" s="10"/>
      <c r="C98" s="766">
        <f>172.2*1.03</f>
        <v>177.36599999999999</v>
      </c>
      <c r="D98" s="770">
        <f t="shared" ref="D98:D104" si="14">C98*0.2</f>
        <v>35.473199999999999</v>
      </c>
      <c r="E98" s="771">
        <f t="shared" si="12"/>
        <v>7.0946399999999992</v>
      </c>
      <c r="F98" s="769">
        <f t="shared" si="13"/>
        <v>219.93383999999998</v>
      </c>
      <c r="I98" s="37" t="s">
        <v>286</v>
      </c>
      <c r="J98" s="750"/>
      <c r="K98" s="777" t="s">
        <v>288</v>
      </c>
      <c r="L98" s="831" t="s">
        <v>289</v>
      </c>
      <c r="M98" s="818"/>
      <c r="N98" s="819"/>
    </row>
    <row r="99" spans="1:14">
      <c r="A99" s="36" t="s">
        <v>281</v>
      </c>
      <c r="B99" s="10"/>
      <c r="C99" s="766">
        <f>156.87*1.03</f>
        <v>161.5761</v>
      </c>
      <c r="D99" s="770">
        <f t="shared" si="14"/>
        <v>32.315220000000004</v>
      </c>
      <c r="E99" s="771">
        <f t="shared" si="12"/>
        <v>6.463044</v>
      </c>
      <c r="F99" s="769">
        <f t="shared" si="13"/>
        <v>200.354364</v>
      </c>
      <c r="I99" s="753" t="s">
        <v>399</v>
      </c>
      <c r="J99" s="754"/>
      <c r="K99" s="779">
        <f>3.03*1.03</f>
        <v>3.1208999999999998</v>
      </c>
      <c r="L99" s="1080" t="s">
        <v>313</v>
      </c>
      <c r="M99" s="1081"/>
      <c r="N99" s="1082"/>
    </row>
    <row r="100" spans="1:14" ht="15.75" thickBot="1">
      <c r="A100" s="959" t="s">
        <v>282</v>
      </c>
      <c r="B100" s="10"/>
      <c r="C100" s="766">
        <f>250.47*1.03</f>
        <v>257.98410000000001</v>
      </c>
      <c r="D100" s="770">
        <f t="shared" si="14"/>
        <v>51.596820000000008</v>
      </c>
      <c r="E100" s="771">
        <f t="shared" si="12"/>
        <v>10.319364</v>
      </c>
      <c r="F100" s="769">
        <f t="shared" si="13"/>
        <v>319.900284</v>
      </c>
      <c r="I100" s="767"/>
      <c r="J100" s="750"/>
      <c r="K100" s="750"/>
      <c r="L100" s="1083"/>
      <c r="M100" s="1084"/>
      <c r="N100" s="1085"/>
    </row>
    <row r="101" spans="1:14" ht="15.75" thickBot="1">
      <c r="A101" s="959" t="s">
        <v>95</v>
      </c>
      <c r="B101" s="10"/>
      <c r="C101" s="766">
        <f>124.18*1.03</f>
        <v>127.90540000000001</v>
      </c>
      <c r="D101" s="770">
        <f t="shared" si="14"/>
        <v>25.581080000000004</v>
      </c>
      <c r="E101" s="771">
        <f t="shared" si="12"/>
        <v>5.1162160000000005</v>
      </c>
      <c r="F101" s="769">
        <f t="shared" si="13"/>
        <v>158.60269600000004</v>
      </c>
      <c r="I101" s="33" t="s">
        <v>290</v>
      </c>
      <c r="J101" s="16"/>
      <c r="K101" s="954">
        <v>5.8999999999999997E-2</v>
      </c>
      <c r="L101" s="33" t="s">
        <v>314</v>
      </c>
      <c r="M101" s="16"/>
      <c r="N101" s="781"/>
    </row>
    <row r="102" spans="1:14" ht="15" customHeight="1" thickBot="1">
      <c r="A102" s="959" t="s">
        <v>49</v>
      </c>
      <c r="B102" s="10"/>
      <c r="C102" s="766">
        <f>202.59*1.03</f>
        <v>208.6677</v>
      </c>
      <c r="D102" s="770">
        <f t="shared" si="14"/>
        <v>41.733540000000005</v>
      </c>
      <c r="E102" s="771">
        <f t="shared" si="12"/>
        <v>8.3467079999999996</v>
      </c>
      <c r="F102" s="769">
        <f t="shared" si="13"/>
        <v>258.74794800000001</v>
      </c>
      <c r="I102" s="953" t="s">
        <v>398</v>
      </c>
      <c r="J102" s="16"/>
      <c r="K102" s="929">
        <f>1.36</f>
        <v>1.36</v>
      </c>
      <c r="L102" s="950" t="s">
        <v>432</v>
      </c>
      <c r="M102" s="754"/>
      <c r="N102" s="778"/>
    </row>
    <row r="103" spans="1:14">
      <c r="A103" s="959" t="s">
        <v>50</v>
      </c>
      <c r="B103" s="10"/>
      <c r="C103" s="766">
        <f>37.5*1.03</f>
        <v>38.625</v>
      </c>
      <c r="D103" s="770">
        <f t="shared" si="14"/>
        <v>7.7250000000000005</v>
      </c>
      <c r="E103" s="771">
        <f>C103*0.04</f>
        <v>1.5449999999999999</v>
      </c>
      <c r="F103" s="769">
        <f t="shared" si="13"/>
        <v>47.895000000000003</v>
      </c>
      <c r="I103" s="753" t="s">
        <v>291</v>
      </c>
      <c r="J103" s="754"/>
      <c r="K103" s="779">
        <f>437*1.03^2</f>
        <v>463.61329999999998</v>
      </c>
      <c r="L103" s="1086" t="s">
        <v>315</v>
      </c>
      <c r="M103" s="1078"/>
      <c r="N103" s="1087"/>
    </row>
    <row r="104" spans="1:14" ht="15" customHeight="1" thickBot="1">
      <c r="A104" s="975" t="s">
        <v>443</v>
      </c>
      <c r="B104" s="750"/>
      <c r="C104" s="772">
        <f>121.65*1.03</f>
        <v>125.29950000000001</v>
      </c>
      <c r="D104" s="773">
        <f t="shared" si="14"/>
        <v>25.059900000000003</v>
      </c>
      <c r="E104" s="774">
        <f>C104*0.04</f>
        <v>5.0119800000000003</v>
      </c>
      <c r="F104" s="775">
        <f t="shared" si="13"/>
        <v>155.37138000000002</v>
      </c>
      <c r="I104" s="36"/>
      <c r="J104" s="10"/>
      <c r="K104" s="10"/>
      <c r="L104" s="1088"/>
      <c r="M104" s="1079"/>
      <c r="N104" s="1089"/>
    </row>
    <row r="105" spans="1:14" ht="15.75" thickBot="1">
      <c r="A105" s="776" t="s">
        <v>318</v>
      </c>
      <c r="I105" s="767"/>
      <c r="J105" s="750"/>
      <c r="K105" s="750"/>
      <c r="L105" s="1090"/>
      <c r="M105" s="1091"/>
      <c r="N105" s="1092"/>
    </row>
    <row r="106" spans="1:14" ht="15.75" thickBot="1">
      <c r="A106" s="21" t="s">
        <v>429</v>
      </c>
      <c r="I106" s="33" t="s">
        <v>412</v>
      </c>
      <c r="J106" s="16"/>
      <c r="K106" s="956">
        <v>251.35</v>
      </c>
      <c r="L106" s="27" t="s">
        <v>433</v>
      </c>
    </row>
    <row r="107" spans="1:14">
      <c r="A107" s="21" t="s">
        <v>284</v>
      </c>
      <c r="I107" s="753" t="s">
        <v>292</v>
      </c>
      <c r="J107" s="754"/>
      <c r="K107" s="779">
        <f>21.46*1.03^3</f>
        <v>23.449921420000003</v>
      </c>
      <c r="L107" s="1086" t="s">
        <v>316</v>
      </c>
      <c r="M107" s="1078"/>
      <c r="N107" s="1087"/>
    </row>
    <row r="108" spans="1:14" ht="15.75" thickBot="1">
      <c r="A108" s="784" t="s">
        <v>305</v>
      </c>
      <c r="B108" s="784"/>
      <c r="C108" s="784"/>
      <c r="D108" s="784"/>
      <c r="E108" s="784"/>
      <c r="F108" s="784"/>
      <c r="I108" s="767"/>
      <c r="J108" s="750"/>
      <c r="K108" s="750"/>
      <c r="L108" s="1090"/>
      <c r="M108" s="1091"/>
      <c r="N108" s="1092"/>
    </row>
    <row r="109" spans="1:14" ht="15.75" thickBot="1">
      <c r="A109" s="21" t="s">
        <v>304</v>
      </c>
      <c r="I109" s="33" t="s">
        <v>217</v>
      </c>
      <c r="J109" s="16"/>
      <c r="K109" s="780">
        <v>0.115</v>
      </c>
      <c r="L109" s="33" t="s">
        <v>317</v>
      </c>
      <c r="M109" s="16"/>
      <c r="N109" s="781"/>
    </row>
    <row r="110" spans="1:14" ht="15.75" thickBot="1">
      <c r="I110" s="753" t="s">
        <v>293</v>
      </c>
      <c r="J110" s="754"/>
      <c r="K110" s="969">
        <v>20</v>
      </c>
      <c r="L110" s="1093" t="s">
        <v>405</v>
      </c>
      <c r="M110" s="1094"/>
      <c r="N110" s="1095"/>
    </row>
    <row r="111" spans="1:14" ht="16.5" thickBot="1">
      <c r="B111" s="1121" t="s">
        <v>236</v>
      </c>
      <c r="C111" s="1122"/>
      <c r="D111" s="1122"/>
      <c r="E111" s="1122"/>
      <c r="F111" s="1123"/>
      <c r="I111" s="36" t="s">
        <v>294</v>
      </c>
      <c r="J111" s="10"/>
      <c r="K111" s="970">
        <v>30</v>
      </c>
      <c r="L111" s="1096"/>
      <c r="M111" s="1097"/>
      <c r="N111" s="1098"/>
    </row>
    <row r="112" spans="1:14" ht="15.75">
      <c r="B112" s="786"/>
      <c r="C112" s="760" t="s">
        <v>453</v>
      </c>
      <c r="D112" s="760" t="s">
        <v>224</v>
      </c>
      <c r="E112" s="787" t="s">
        <v>225</v>
      </c>
      <c r="F112" s="761" t="s">
        <v>200</v>
      </c>
      <c r="I112" s="36" t="s">
        <v>295</v>
      </c>
      <c r="J112" s="10"/>
      <c r="K112" s="970">
        <v>15</v>
      </c>
      <c r="L112" s="1096"/>
      <c r="M112" s="1097"/>
      <c r="N112" s="1098"/>
    </row>
    <row r="113" spans="2:14" ht="15" customHeight="1" thickBot="1">
      <c r="B113" s="762" t="s">
        <v>221</v>
      </c>
      <c r="C113" s="763" t="s">
        <v>223</v>
      </c>
      <c r="D113" s="763" t="s">
        <v>200</v>
      </c>
      <c r="E113" s="788" t="s">
        <v>109</v>
      </c>
      <c r="F113" s="764" t="s">
        <v>204</v>
      </c>
      <c r="G113" s="916"/>
      <c r="I113" s="767" t="s">
        <v>218</v>
      </c>
      <c r="J113" s="750"/>
      <c r="K113" s="971">
        <v>0.05</v>
      </c>
      <c r="L113" s="1099"/>
      <c r="M113" s="1100"/>
      <c r="N113" s="1101"/>
    </row>
    <row r="114" spans="2:14" ht="15.75">
      <c r="B114" s="789" t="s">
        <v>226</v>
      </c>
      <c r="C114" s="790" t="s">
        <v>223</v>
      </c>
      <c r="D114" s="791">
        <f>'Land Values'!D8</f>
        <v>112875000</v>
      </c>
      <c r="E114" s="792">
        <v>936540</v>
      </c>
      <c r="F114" s="793">
        <f>D114/E114</f>
        <v>120.52341597796143</v>
      </c>
      <c r="G114" s="917"/>
      <c r="I114" s="753" t="s">
        <v>296</v>
      </c>
      <c r="J114" s="754"/>
      <c r="K114" s="779">
        <f>110*1.03^2</f>
        <v>116.699</v>
      </c>
      <c r="L114" s="1102" t="s">
        <v>448</v>
      </c>
      <c r="M114" s="1103"/>
      <c r="N114" s="1104"/>
    </row>
    <row r="115" spans="2:14" ht="15.75">
      <c r="B115" s="789" t="s">
        <v>227</v>
      </c>
      <c r="C115" s="790" t="s">
        <v>452</v>
      </c>
      <c r="D115" s="794">
        <f>'Land Values'!D12</f>
        <v>14175000</v>
      </c>
      <c r="E115" s="792">
        <v>117612</v>
      </c>
      <c r="F115" s="795">
        <f t="shared" ref="F115" si="15">D115/E115</f>
        <v>120.52341597796143</v>
      </c>
      <c r="G115" s="917"/>
      <c r="I115" s="36" t="s">
        <v>297</v>
      </c>
      <c r="J115" s="10"/>
      <c r="K115" s="782">
        <v>0.67</v>
      </c>
      <c r="L115" s="1105"/>
      <c r="M115" s="1106"/>
      <c r="N115" s="1107"/>
    </row>
    <row r="116" spans="2:14" ht="15.75" thickBot="1">
      <c r="B116" s="789" t="s">
        <v>228</v>
      </c>
      <c r="C116" s="790" t="s">
        <v>452</v>
      </c>
      <c r="D116" s="794">
        <f>'Land Values'!D16</f>
        <v>34125000</v>
      </c>
      <c r="E116" s="792">
        <v>283140</v>
      </c>
      <c r="F116" s="795">
        <f>D116/E116</f>
        <v>120.52341597796143</v>
      </c>
      <c r="G116" s="791"/>
      <c r="I116" s="767" t="s">
        <v>298</v>
      </c>
      <c r="J116" s="750"/>
      <c r="K116" s="783">
        <v>0.35</v>
      </c>
      <c r="L116" s="1108"/>
      <c r="M116" s="1109"/>
      <c r="N116" s="1110"/>
    </row>
    <row r="117" spans="2:14">
      <c r="B117" s="789" t="s">
        <v>465</v>
      </c>
      <c r="C117" s="790" t="s">
        <v>223</v>
      </c>
      <c r="D117" s="794">
        <f>'Land Values'!D21</f>
        <v>51473913.050964192</v>
      </c>
      <c r="E117" s="792">
        <f>'Land Values'!E21</f>
        <v>414647</v>
      </c>
      <c r="F117" s="795">
        <f>D117/E117</f>
        <v>124.13911845730028</v>
      </c>
      <c r="G117" s="794"/>
      <c r="I117" s="753" t="s">
        <v>328</v>
      </c>
      <c r="J117" s="754"/>
      <c r="K117" s="845">
        <f>7*1.03^3</f>
        <v>7.649089</v>
      </c>
      <c r="L117" s="753" t="s">
        <v>404</v>
      </c>
      <c r="M117" s="754"/>
      <c r="N117" s="778"/>
    </row>
    <row r="118" spans="2:14" ht="16.5" thickBot="1">
      <c r="B118" s="762" t="s">
        <v>32</v>
      </c>
      <c r="C118" s="796"/>
      <c r="D118" s="797">
        <f>SUM(D114:D117)</f>
        <v>212648913.05096418</v>
      </c>
      <c r="E118" s="798">
        <f>SUM(E114:E117)</f>
        <v>1751939</v>
      </c>
      <c r="F118" s="800">
        <f>K142/E118</f>
        <v>0</v>
      </c>
      <c r="G118" s="794"/>
      <c r="I118" s="767" t="s">
        <v>219</v>
      </c>
      <c r="J118" s="750"/>
      <c r="K118" s="846">
        <v>7.0000000000000007E-2</v>
      </c>
      <c r="L118" s="767"/>
      <c r="M118" s="750"/>
      <c r="N118" s="847"/>
    </row>
    <row r="119" spans="2:14">
      <c r="B119" s="902" t="s">
        <v>395</v>
      </c>
      <c r="C119" s="903"/>
      <c r="D119" s="904"/>
      <c r="E119" s="905"/>
      <c r="F119" s="905"/>
      <c r="G119" s="794"/>
      <c r="I119" s="753" t="s">
        <v>400</v>
      </c>
      <c r="J119" s="754"/>
      <c r="K119" s="927">
        <v>215</v>
      </c>
      <c r="L119" s="36" t="s">
        <v>401</v>
      </c>
      <c r="M119" s="10"/>
      <c r="N119" s="926"/>
    </row>
    <row r="120" spans="2:14" ht="16.5" thickBot="1">
      <c r="B120" s="902" t="s">
        <v>397</v>
      </c>
      <c r="C120" s="903"/>
      <c r="D120" s="904"/>
      <c r="E120" s="905"/>
      <c r="F120" s="905"/>
      <c r="G120" s="918"/>
      <c r="H120" s="916"/>
      <c r="I120" s="767" t="s">
        <v>402</v>
      </c>
      <c r="J120" s="750"/>
      <c r="K120" s="928">
        <v>4</v>
      </c>
      <c r="L120" s="36"/>
      <c r="M120" s="10"/>
      <c r="N120" s="926"/>
    </row>
    <row r="121" spans="2:14" ht="16.5" thickBot="1">
      <c r="B121" s="39"/>
      <c r="C121" s="527"/>
      <c r="D121" s="530"/>
      <c r="E121" s="529"/>
      <c r="F121" s="529"/>
      <c r="G121" s="801"/>
      <c r="H121" s="917"/>
      <c r="I121" s="753" t="s">
        <v>299</v>
      </c>
      <c r="J121" s="754"/>
      <c r="K121" s="848">
        <v>0.06</v>
      </c>
      <c r="L121" s="1111" t="s">
        <v>447</v>
      </c>
      <c r="M121" s="1112"/>
      <c r="N121" s="1113"/>
    </row>
    <row r="122" spans="2:14" ht="16.5" thickBot="1">
      <c r="B122" s="785" t="s">
        <v>230</v>
      </c>
      <c r="C122" s="804"/>
      <c r="D122" s="805"/>
      <c r="E122" s="806"/>
      <c r="F122" s="807"/>
      <c r="G122" s="801"/>
      <c r="H122" s="917"/>
      <c r="I122" s="36" t="s">
        <v>300</v>
      </c>
      <c r="J122" s="10"/>
      <c r="K122" s="849">
        <v>6.2E-2</v>
      </c>
      <c r="L122" s="1114"/>
      <c r="M122" s="1115"/>
      <c r="N122" s="1116"/>
    </row>
    <row r="123" spans="2:14">
      <c r="B123" s="906" t="s">
        <v>455</v>
      </c>
      <c r="C123" s="907"/>
      <c r="D123" s="908"/>
      <c r="E123" s="909"/>
      <c r="F123" s="910">
        <f>SUM(E114,E117)</f>
        <v>1351187</v>
      </c>
      <c r="G123" s="530"/>
      <c r="H123" s="919"/>
      <c r="I123" s="36" t="s">
        <v>301</v>
      </c>
      <c r="J123" s="10"/>
      <c r="K123" s="849">
        <v>6.2E-2</v>
      </c>
      <c r="L123" s="1114"/>
      <c r="M123" s="1115"/>
      <c r="N123" s="1116"/>
    </row>
    <row r="124" spans="2:14">
      <c r="B124" s="808" t="s">
        <v>320</v>
      </c>
      <c r="C124" s="809"/>
      <c r="D124" s="809"/>
      <c r="E124" s="809"/>
      <c r="F124" s="810">
        <v>0</v>
      </c>
      <c r="H124" s="920"/>
      <c r="I124" s="36" t="s">
        <v>302</v>
      </c>
      <c r="J124" s="10"/>
      <c r="K124" s="849">
        <v>0.08</v>
      </c>
      <c r="L124" s="1114"/>
      <c r="M124" s="1115"/>
      <c r="N124" s="1116"/>
    </row>
    <row r="125" spans="2:14" ht="15.75">
      <c r="B125" s="811" t="s">
        <v>232</v>
      </c>
      <c r="C125" s="812"/>
      <c r="D125" s="812"/>
      <c r="E125" s="812"/>
      <c r="F125" s="813">
        <f>SUM(F123:F124)</f>
        <v>1351187</v>
      </c>
      <c r="H125" s="920"/>
      <c r="I125" s="36" t="s">
        <v>327</v>
      </c>
      <c r="J125" s="10"/>
      <c r="K125" s="849">
        <v>6.9000000000000006E-2</v>
      </c>
      <c r="L125" s="833"/>
      <c r="M125" s="834"/>
      <c r="N125" s="835"/>
    </row>
    <row r="126" spans="2:14" ht="15.75" thickBot="1">
      <c r="B126" s="808" t="s">
        <v>456</v>
      </c>
      <c r="C126" s="809"/>
      <c r="D126" s="809"/>
      <c r="E126" s="817" t="s">
        <v>233</v>
      </c>
      <c r="F126" s="814">
        <v>1.25</v>
      </c>
      <c r="H126" s="920"/>
      <c r="I126" s="767" t="s">
        <v>303</v>
      </c>
      <c r="J126" s="750"/>
      <c r="K126" s="972">
        <v>0.11</v>
      </c>
      <c r="L126" s="767"/>
      <c r="M126" s="750"/>
      <c r="N126" s="847"/>
    </row>
    <row r="127" spans="2:14" ht="19.5" thickBot="1">
      <c r="B127" s="762" t="s">
        <v>306</v>
      </c>
      <c r="C127" s="815"/>
      <c r="D127" s="815"/>
      <c r="E127" s="815"/>
      <c r="F127" s="799">
        <f>F125*F126</f>
        <v>1688983.75</v>
      </c>
      <c r="H127" s="918"/>
      <c r="I127" s="1078" t="s">
        <v>310</v>
      </c>
      <c r="J127" s="1078"/>
      <c r="K127" s="1078"/>
      <c r="L127" s="1078"/>
      <c r="M127" s="1078"/>
      <c r="N127" s="1078"/>
    </row>
    <row r="128" spans="2:14">
      <c r="B128" s="776" t="s">
        <v>403</v>
      </c>
      <c r="C128" s="776"/>
      <c r="D128" s="776"/>
      <c r="E128" s="776"/>
      <c r="F128" s="776"/>
      <c r="H128" s="801"/>
      <c r="I128" s="1079"/>
      <c r="J128" s="1079"/>
      <c r="K128" s="1079"/>
      <c r="L128" s="1079"/>
      <c r="M128" s="1079"/>
      <c r="N128" s="1079"/>
    </row>
    <row r="129" spans="7:13">
      <c r="H129" s="801"/>
    </row>
    <row r="130" spans="7:13">
      <c r="G130" s="38"/>
      <c r="H130" s="530"/>
    </row>
    <row r="131" spans="7:13">
      <c r="H131" s="530"/>
    </row>
    <row r="132" spans="7:13">
      <c r="H132" s="530"/>
    </row>
    <row r="133" spans="7:13">
      <c r="H133" s="38"/>
    </row>
    <row r="134" spans="7:13">
      <c r="H134" s="38"/>
      <c r="I134" s="916"/>
      <c r="J134" s="916"/>
      <c r="K134" s="916"/>
      <c r="L134" s="916"/>
      <c r="M134" s="10"/>
    </row>
    <row r="135" spans="7:13" ht="15.75">
      <c r="H135" s="38"/>
      <c r="I135" s="917"/>
      <c r="J135" s="917"/>
      <c r="K135" s="917"/>
      <c r="L135" s="10"/>
    </row>
    <row r="136" spans="7:13" ht="15.75">
      <c r="H136" s="38"/>
      <c r="I136" s="917"/>
      <c r="J136" s="917"/>
      <c r="K136" s="917"/>
      <c r="L136" s="10"/>
    </row>
    <row r="137" spans="7:13">
      <c r="H137" s="38"/>
      <c r="I137" s="791"/>
      <c r="J137" s="791"/>
      <c r="K137" s="919"/>
      <c r="L137" s="10"/>
    </row>
    <row r="138" spans="7:13">
      <c r="I138" s="794"/>
      <c r="J138" s="794"/>
      <c r="K138" s="920"/>
      <c r="L138" s="10"/>
    </row>
    <row r="139" spans="7:13">
      <c r="I139" s="794"/>
      <c r="J139" s="794"/>
      <c r="K139" s="920"/>
      <c r="L139" s="10"/>
    </row>
    <row r="140" spans="7:13">
      <c r="I140" s="794"/>
      <c r="J140" s="794"/>
      <c r="K140" s="920"/>
      <c r="L140" s="10"/>
    </row>
    <row r="141" spans="7:13">
      <c r="I141" s="794"/>
      <c r="J141" s="794"/>
      <c r="K141" s="920"/>
      <c r="L141" s="10"/>
    </row>
    <row r="142" spans="7:13" ht="15.75">
      <c r="I142" s="918"/>
      <c r="J142" s="918"/>
      <c r="K142" s="918"/>
      <c r="L142" s="10"/>
    </row>
    <row r="143" spans="7:13">
      <c r="I143" s="801"/>
      <c r="J143" s="801"/>
      <c r="K143" s="802"/>
      <c r="L143" s="803"/>
    </row>
    <row r="144" spans="7:13">
      <c r="I144" s="801"/>
      <c r="J144" s="801"/>
      <c r="K144" s="802"/>
      <c r="L144" s="803"/>
    </row>
    <row r="145" spans="9:12">
      <c r="I145" s="530"/>
      <c r="J145" s="530"/>
      <c r="K145" s="188"/>
      <c r="L145" s="531"/>
    </row>
    <row r="146" spans="9:12">
      <c r="I146" s="530"/>
      <c r="J146" s="530"/>
      <c r="K146" s="188"/>
      <c r="L146" s="531"/>
    </row>
    <row r="147" spans="9:12">
      <c r="I147" s="530"/>
      <c r="J147" s="530"/>
      <c r="K147" s="188"/>
      <c r="L147" s="531"/>
    </row>
    <row r="148" spans="9:12">
      <c r="I148" s="38"/>
      <c r="J148" s="38"/>
      <c r="K148" s="38"/>
      <c r="L148" s="38"/>
    </row>
    <row r="149" spans="9:12">
      <c r="I149" s="38"/>
      <c r="J149" s="38"/>
      <c r="K149" s="38"/>
      <c r="L149" s="38"/>
    </row>
    <row r="150" spans="9:12">
      <c r="I150" s="38"/>
      <c r="J150" s="38"/>
      <c r="K150" s="38"/>
      <c r="L150" s="38"/>
    </row>
    <row r="151" spans="9:12">
      <c r="I151" s="38"/>
      <c r="J151" s="38"/>
      <c r="K151" s="38"/>
      <c r="L151" s="38"/>
    </row>
    <row r="152" spans="9:12">
      <c r="I152" s="38"/>
      <c r="J152" s="38"/>
      <c r="K152" s="38"/>
      <c r="L152" s="38"/>
    </row>
  </sheetData>
  <mergeCells count="11">
    <mergeCell ref="I86:N87"/>
    <mergeCell ref="I89:N90"/>
    <mergeCell ref="I91:N92"/>
    <mergeCell ref="B111:F111"/>
    <mergeCell ref="I127:N128"/>
    <mergeCell ref="L99:N100"/>
    <mergeCell ref="L107:N108"/>
    <mergeCell ref="L110:N113"/>
    <mergeCell ref="L114:N116"/>
    <mergeCell ref="L103:N105"/>
    <mergeCell ref="L121:N124"/>
  </mergeCells>
  <pageMargins left="0.19791666666666699" right="0.25" top="0.75" bottom="0.75" header="0.3" footer="0.3"/>
  <pageSetup paperSize="17" scale="32" orientation="portrait" r:id="rId1"/>
  <headerFooter alignWithMargins="0">
    <oddHeader xml:space="preserve">&amp;L&amp;"Arial,Bold"2013 ULI Hines Student Urban Design Competition&amp;RTeam &amp;A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workbookViewId="0">
      <selection activeCell="C13" sqref="C13"/>
    </sheetView>
  </sheetViews>
  <sheetFormatPr defaultColWidth="9.140625" defaultRowHeight="12.75"/>
  <cols>
    <col min="1" max="1" width="33.85546875" style="556" customWidth="1"/>
    <col min="2" max="2" width="21.42578125" style="556" customWidth="1"/>
    <col min="3" max="3" width="16" style="556" customWidth="1"/>
    <col min="4" max="4" width="19.5703125" style="556" bestFit="1" customWidth="1"/>
    <col min="5" max="5" width="15.7109375" style="556" bestFit="1" customWidth="1"/>
    <col min="6" max="6" width="10.140625" style="556" bestFit="1" customWidth="1"/>
    <col min="7" max="7" width="12.140625" style="556" bestFit="1" customWidth="1"/>
    <col min="8" max="16384" width="9.140625" style="556"/>
  </cols>
  <sheetData>
    <row r="1" spans="1:7">
      <c r="A1" s="54" t="s">
        <v>83</v>
      </c>
      <c r="B1" s="563"/>
      <c r="C1" s="564"/>
    </row>
    <row r="2" spans="1:7" ht="13.5" thickBot="1">
      <c r="A2" s="57" t="s">
        <v>245</v>
      </c>
      <c r="B2" s="565"/>
      <c r="C2" s="566"/>
    </row>
    <row r="3" spans="1:7" ht="3" customHeight="1">
      <c r="A3" s="560"/>
      <c r="B3" s="558"/>
      <c r="C3" s="391"/>
    </row>
    <row r="4" spans="1:7">
      <c r="A4" s="560" t="s">
        <v>70</v>
      </c>
      <c r="B4" s="558"/>
      <c r="C4" s="569">
        <f>'Summary Board'!F81</f>
        <v>212648913.05096418</v>
      </c>
    </row>
    <row r="5" spans="1:7">
      <c r="A5" s="560" t="s">
        <v>237</v>
      </c>
      <c r="B5" s="558"/>
      <c r="C5" s="592">
        <f>'Summary Board'!F82</f>
        <v>1688983.75</v>
      </c>
    </row>
    <row r="6" spans="1:7">
      <c r="A6" s="560" t="s">
        <v>244</v>
      </c>
      <c r="B6" s="558"/>
      <c r="C6" s="592">
        <f>SUM('Summary Board'!F72:F80,'Summary Board'!F91)</f>
        <v>1144849927.2216783</v>
      </c>
    </row>
    <row r="7" spans="1:7">
      <c r="A7" s="571" t="s">
        <v>249</v>
      </c>
      <c r="B7" s="567"/>
      <c r="C7" s="912">
        <v>6570000</v>
      </c>
      <c r="D7" s="568"/>
    </row>
    <row r="8" spans="1:7" ht="13.5" thickBot="1">
      <c r="A8" s="573" t="s">
        <v>3</v>
      </c>
      <c r="B8" s="562"/>
      <c r="C8" s="576">
        <f>SUM(C4:C7)</f>
        <v>1365757824.0226424</v>
      </c>
    </row>
    <row r="9" spans="1:7" ht="3.75" customHeight="1">
      <c r="A9" s="560"/>
      <c r="B9" s="558"/>
      <c r="C9" s="561"/>
      <c r="D9" s="558"/>
      <c r="E9" s="558"/>
      <c r="F9" s="558"/>
      <c r="G9" s="558"/>
    </row>
    <row r="10" spans="1:7">
      <c r="A10" s="575" t="s">
        <v>250</v>
      </c>
      <c r="B10" s="558"/>
      <c r="C10" s="561"/>
      <c r="D10" s="558"/>
      <c r="E10" s="558"/>
      <c r="F10" s="558"/>
      <c r="G10" s="558"/>
    </row>
    <row r="11" spans="1:7">
      <c r="A11" s="560" t="s">
        <v>248</v>
      </c>
      <c r="B11" s="558"/>
      <c r="C11" s="825">
        <f>C8*0.65</f>
        <v>887742585.6147176</v>
      </c>
      <c r="D11" s="557"/>
      <c r="E11" s="558"/>
      <c r="F11" s="558"/>
      <c r="G11" s="558"/>
    </row>
    <row r="12" spans="1:7">
      <c r="A12" s="911" t="s">
        <v>246</v>
      </c>
      <c r="B12" s="567"/>
      <c r="C12" s="572">
        <f>C8-C11-C15-C18-C13-C16-C17-C14</f>
        <v>397030237.55734479</v>
      </c>
      <c r="D12" s="913"/>
      <c r="E12" s="389"/>
      <c r="F12" s="389"/>
      <c r="G12" s="389"/>
    </row>
    <row r="13" spans="1:7">
      <c r="A13" s="901" t="s">
        <v>434</v>
      </c>
      <c r="B13" s="558"/>
      <c r="C13" s="570">
        <f>'Land Values'!D12+'Land Values'!D16</f>
        <v>48300000</v>
      </c>
      <c r="D13" s="913"/>
      <c r="E13" s="389"/>
      <c r="F13" s="389"/>
      <c r="G13" s="389"/>
    </row>
    <row r="14" spans="1:7">
      <c r="A14" s="901" t="s">
        <v>421</v>
      </c>
      <c r="B14" s="558"/>
      <c r="C14" s="570">
        <f>SUM('Summary Board'!E91)</f>
        <v>7846334</v>
      </c>
      <c r="D14" s="913"/>
      <c r="E14" s="389"/>
      <c r="F14" s="389"/>
      <c r="G14" s="389"/>
    </row>
    <row r="15" spans="1:7">
      <c r="A15" s="901" t="s">
        <v>421</v>
      </c>
      <c r="B15" s="558"/>
      <c r="C15" s="570">
        <v>3500000</v>
      </c>
      <c r="D15" s="913"/>
      <c r="E15" s="389"/>
      <c r="F15" s="389"/>
      <c r="G15" s="389"/>
    </row>
    <row r="16" spans="1:7">
      <c r="A16" s="901" t="s">
        <v>458</v>
      </c>
      <c r="B16" s="558"/>
      <c r="C16" s="570">
        <v>10167750</v>
      </c>
      <c r="D16" s="913"/>
      <c r="E16" s="389"/>
      <c r="F16" s="389"/>
      <c r="G16" s="389"/>
    </row>
    <row r="17" spans="1:7">
      <c r="A17" s="901" t="s">
        <v>459</v>
      </c>
      <c r="B17" s="558"/>
      <c r="C17" s="570">
        <v>3900000</v>
      </c>
      <c r="D17" s="913"/>
      <c r="E17" s="389"/>
      <c r="F17" s="389"/>
      <c r="G17" s="389"/>
    </row>
    <row r="18" spans="1:7">
      <c r="A18" s="901" t="s">
        <v>437</v>
      </c>
      <c r="B18" s="558"/>
      <c r="C18" s="570">
        <f>22755.82*(SUM('4.Affordable Rental Housing'!C58:C60,'5.Affordable For-Sale Housing '!C53:C55))</f>
        <v>7270916.8505800003</v>
      </c>
      <c r="D18" s="913"/>
      <c r="E18" s="389"/>
      <c r="F18" s="389"/>
      <c r="G18" s="389"/>
    </row>
    <row r="19" spans="1:7" ht="13.5" thickBot="1">
      <c r="A19" s="573" t="s">
        <v>247</v>
      </c>
      <c r="B19" s="574"/>
      <c r="C19" s="576">
        <f>SUM(C11:C18)</f>
        <v>1365757824.0226424</v>
      </c>
      <c r="D19" s="557"/>
      <c r="E19" s="557"/>
      <c r="F19" s="557"/>
      <c r="G19" s="557"/>
    </row>
    <row r="20" spans="1:7">
      <c r="A20" s="558"/>
      <c r="B20" s="558"/>
      <c r="C20" s="557"/>
      <c r="D20" s="559"/>
      <c r="E20" s="559"/>
      <c r="F20" s="559"/>
      <c r="G20" s="559"/>
    </row>
    <row r="21" spans="1:7">
      <c r="A21" s="558"/>
      <c r="B21" s="558"/>
      <c r="C21" s="557"/>
      <c r="D21" s="558"/>
      <c r="E21" s="558"/>
      <c r="F21" s="558"/>
      <c r="G21" s="558"/>
    </row>
    <row r="22" spans="1:7">
      <c r="A22" s="558"/>
      <c r="B22" s="558"/>
      <c r="C22" s="557"/>
      <c r="D22" s="558"/>
      <c r="E22" s="558"/>
      <c r="F22" s="558"/>
      <c r="G22" s="558"/>
    </row>
    <row r="23" spans="1:7">
      <c r="A23" s="558"/>
      <c r="B23" s="558"/>
      <c r="C23" s="557"/>
      <c r="D23" s="558"/>
      <c r="E23" s="558"/>
      <c r="F23" s="558"/>
      <c r="G23" s="558"/>
    </row>
    <row r="24" spans="1:7">
      <c r="A24" s="558"/>
      <c r="B24" s="558"/>
      <c r="C24" s="557"/>
      <c r="D24" s="558"/>
      <c r="E24" s="558"/>
      <c r="F24" s="558"/>
      <c r="G24" s="558"/>
    </row>
    <row r="25" spans="1:7">
      <c r="A25" s="558"/>
      <c r="B25" s="558"/>
      <c r="C25" s="557"/>
      <c r="D25" s="558"/>
      <c r="E25" s="558"/>
      <c r="F25" s="558"/>
      <c r="G25" s="558"/>
    </row>
    <row r="26" spans="1:7">
      <c r="A26" s="558"/>
      <c r="B26" s="558"/>
      <c r="C26" s="557"/>
      <c r="D26" s="558"/>
      <c r="E26" s="558"/>
      <c r="F26" s="558"/>
      <c r="G26" s="558"/>
    </row>
    <row r="27" spans="1:7">
      <c r="A27" s="558"/>
      <c r="B27" s="558"/>
      <c r="C27" s="557"/>
      <c r="D27" s="558"/>
      <c r="E27" s="558"/>
      <c r="F27" s="558"/>
      <c r="G27" s="558"/>
    </row>
    <row r="28" spans="1:7">
      <c r="A28" s="558"/>
      <c r="B28" s="558"/>
      <c r="C28" s="557"/>
      <c r="D28" s="558"/>
      <c r="E28" s="558"/>
      <c r="F28" s="558"/>
      <c r="G28" s="558"/>
    </row>
    <row r="29" spans="1:7">
      <c r="A29" s="558"/>
      <c r="B29" s="558"/>
      <c r="C29" s="558"/>
      <c r="D29" s="558"/>
      <c r="E29" s="558"/>
      <c r="F29" s="558"/>
      <c r="G29" s="558"/>
    </row>
    <row r="30" spans="1:7">
      <c r="A30" s="558"/>
      <c r="B30" s="558"/>
      <c r="C30" s="558"/>
      <c r="D30" s="558"/>
      <c r="E30" s="558"/>
      <c r="F30" s="558"/>
      <c r="G30" s="558"/>
    </row>
  </sheetData>
  <dataConsolidate/>
  <printOptions horizontalCentered="1"/>
  <pageMargins left="0.45" right="0.45" top="0.5" bottom="0.5" header="0.3" footer="0.3"/>
  <pageSetup scale="1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4" zoomScale="85" zoomScaleNormal="85" workbookViewId="0">
      <selection activeCell="D21" sqref="D21"/>
    </sheetView>
  </sheetViews>
  <sheetFormatPr defaultColWidth="9.140625" defaultRowHeight="12.75"/>
  <cols>
    <col min="1" max="1" width="31.5703125" style="556" customWidth="1"/>
    <col min="2" max="2" width="15.42578125" style="556" bestFit="1" customWidth="1"/>
    <col min="3" max="3" width="14.42578125" style="556" bestFit="1" customWidth="1"/>
    <col min="4" max="4" width="13.85546875" style="556" bestFit="1" customWidth="1"/>
    <col min="5" max="5" width="12.7109375" style="556" bestFit="1" customWidth="1"/>
    <col min="6" max="9" width="13.85546875" style="556" bestFit="1" customWidth="1"/>
    <col min="10" max="10" width="13.7109375" style="556" customWidth="1"/>
    <col min="11" max="11" width="13.85546875" style="556" bestFit="1" customWidth="1"/>
    <col min="12" max="13" width="15.42578125" style="556" bestFit="1" customWidth="1"/>
    <col min="14" max="14" width="12.7109375" style="556" bestFit="1" customWidth="1"/>
    <col min="15" max="16384" width="9.140625" style="556"/>
  </cols>
  <sheetData>
    <row r="1" spans="1:14">
      <c r="A1" s="54" t="s">
        <v>83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8"/>
    </row>
    <row r="2" spans="1:14" ht="13.5" thickBot="1">
      <c r="A2" s="57" t="s">
        <v>253</v>
      </c>
      <c r="B2" s="600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601"/>
    </row>
    <row r="3" spans="1:14" ht="13.5" thickBot="1">
      <c r="A3" s="139"/>
      <c r="B3" s="49" t="s">
        <v>58</v>
      </c>
      <c r="C3" s="114" t="s">
        <v>37</v>
      </c>
      <c r="D3" s="115"/>
      <c r="E3" s="46"/>
      <c r="F3" s="114" t="s">
        <v>80</v>
      </c>
      <c r="G3" s="160"/>
      <c r="H3" s="46"/>
      <c r="I3" s="114" t="s">
        <v>81</v>
      </c>
      <c r="J3" s="44"/>
      <c r="K3" s="45"/>
      <c r="L3" s="46"/>
      <c r="M3" s="582"/>
    </row>
    <row r="4" spans="1:14" ht="14.1" customHeight="1" thickBot="1">
      <c r="A4" s="67"/>
      <c r="B4" s="311">
        <v>0</v>
      </c>
      <c r="C4" s="112">
        <f>B4+1</f>
        <v>1</v>
      </c>
      <c r="D4" s="111">
        <f t="shared" ref="D4:L5" si="0">C4+1</f>
        <v>2</v>
      </c>
      <c r="E4" s="113">
        <f t="shared" si="0"/>
        <v>3</v>
      </c>
      <c r="F4" s="112">
        <f t="shared" si="0"/>
        <v>4</v>
      </c>
      <c r="G4" s="152">
        <f t="shared" si="0"/>
        <v>5</v>
      </c>
      <c r="H4" s="113">
        <f t="shared" si="0"/>
        <v>6</v>
      </c>
      <c r="I4" s="112">
        <f t="shared" si="0"/>
        <v>7</v>
      </c>
      <c r="J4" s="111">
        <f t="shared" si="0"/>
        <v>8</v>
      </c>
      <c r="K4" s="111">
        <f t="shared" si="0"/>
        <v>9</v>
      </c>
      <c r="L4" s="113">
        <f t="shared" si="0"/>
        <v>10</v>
      </c>
      <c r="M4" s="583"/>
    </row>
    <row r="5" spans="1:14" ht="14.1" customHeight="1" thickBot="1">
      <c r="A5" s="70"/>
      <c r="B5" s="311" t="s">
        <v>63</v>
      </c>
      <c r="C5" s="300">
        <v>2015</v>
      </c>
      <c r="D5" s="111">
        <f>C5+1</f>
        <v>2016</v>
      </c>
      <c r="E5" s="113">
        <f t="shared" si="0"/>
        <v>2017</v>
      </c>
      <c r="F5" s="112">
        <f t="shared" si="0"/>
        <v>2018</v>
      </c>
      <c r="G5" s="111">
        <f t="shared" si="0"/>
        <v>2019</v>
      </c>
      <c r="H5" s="113">
        <f t="shared" si="0"/>
        <v>2020</v>
      </c>
      <c r="I5" s="112">
        <f t="shared" si="0"/>
        <v>2021</v>
      </c>
      <c r="J5" s="111">
        <f t="shared" si="0"/>
        <v>2022</v>
      </c>
      <c r="K5" s="111">
        <f>J5+1</f>
        <v>2023</v>
      </c>
      <c r="L5" s="113">
        <f>K5+1</f>
        <v>2024</v>
      </c>
      <c r="M5" s="584" t="s">
        <v>32</v>
      </c>
    </row>
    <row r="6" spans="1:14" ht="14.1" customHeight="1">
      <c r="A6" s="560" t="s">
        <v>70</v>
      </c>
      <c r="B6" s="590">
        <f>'Summary Board'!D27</f>
        <v>161175000</v>
      </c>
      <c r="C6" s="590">
        <f>'Summary Board'!E27</f>
        <v>51473913.050964192</v>
      </c>
      <c r="D6" s="586">
        <f>'Summary Board'!F27</f>
        <v>0</v>
      </c>
      <c r="E6" s="569">
        <f>'Summary Board'!G27</f>
        <v>0</v>
      </c>
      <c r="F6" s="590">
        <f>'Summary Board'!H27</f>
        <v>0</v>
      </c>
      <c r="G6" s="586">
        <f>'Summary Board'!I27</f>
        <v>0</v>
      </c>
      <c r="H6" s="569">
        <f>'Summary Board'!J27</f>
        <v>0</v>
      </c>
      <c r="I6" s="590">
        <f>'Summary Board'!K27</f>
        <v>0</v>
      </c>
      <c r="J6" s="586">
        <f>'Summary Board'!L27</f>
        <v>0</v>
      </c>
      <c r="K6" s="586">
        <f>'Summary Board'!M27</f>
        <v>0</v>
      </c>
      <c r="L6" s="569">
        <f>'Summary Board'!N27</f>
        <v>0</v>
      </c>
      <c r="M6" s="602">
        <f>SUM(B6:L6)</f>
        <v>212648913.05096418</v>
      </c>
    </row>
    <row r="7" spans="1:14" ht="14.1" customHeight="1">
      <c r="A7" s="560" t="s">
        <v>237</v>
      </c>
      <c r="B7" s="591">
        <f>'Summary Board'!D29</f>
        <v>1688983.75</v>
      </c>
      <c r="C7" s="591">
        <f>'Summary Board'!E29</f>
        <v>0</v>
      </c>
      <c r="D7" s="588">
        <f>'Summary Board'!F29</f>
        <v>0</v>
      </c>
      <c r="E7" s="592">
        <f>'Summary Board'!G29</f>
        <v>0</v>
      </c>
      <c r="F7" s="591">
        <f>'Summary Board'!H29</f>
        <v>0</v>
      </c>
      <c r="G7" s="588">
        <f>'Summary Board'!I29</f>
        <v>0</v>
      </c>
      <c r="H7" s="592">
        <f>'Summary Board'!J29</f>
        <v>0</v>
      </c>
      <c r="I7" s="591">
        <f>'Summary Board'!K29</f>
        <v>0</v>
      </c>
      <c r="J7" s="588">
        <f>'Summary Board'!L29</f>
        <v>0</v>
      </c>
      <c r="K7" s="588">
        <f>'Summary Board'!M29</f>
        <v>0</v>
      </c>
      <c r="L7" s="592">
        <f>'Summary Board'!N29</f>
        <v>0</v>
      </c>
      <c r="M7" s="603">
        <f>SUM(B7:L7)</f>
        <v>1688983.75</v>
      </c>
    </row>
    <row r="8" spans="1:14">
      <c r="A8" s="560" t="s">
        <v>244</v>
      </c>
      <c r="B8" s="591">
        <f>SUM('Summary Board'!D17:D26,'Summary Board'!D28)</f>
        <v>0</v>
      </c>
      <c r="C8" s="591">
        <f>SUM('Summary Board'!E17:E26,'Summary Board'!E28)</f>
        <v>199343673.59115365</v>
      </c>
      <c r="D8" s="588">
        <f>SUM('Summary Board'!F17:F26,'Summary Board'!F28)</f>
        <v>129947677.81150809</v>
      </c>
      <c r="E8" s="592">
        <f>SUM('Summary Board'!G17:G26,'Summary Board'!G28)</f>
        <v>30943242.893800002</v>
      </c>
      <c r="F8" s="591">
        <f>SUM('Summary Board'!H17:H26,'Summary Board'!H28)</f>
        <v>138814738.8046329</v>
      </c>
      <c r="G8" s="588">
        <f>SUM('Summary Board'!I17:I26,'Summary Board'!I28)</f>
        <v>225709056.09485447</v>
      </c>
      <c r="H8" s="592">
        <f>SUM('Summary Board'!J17:J26,'Summary Board'!J28)</f>
        <v>48835360.474927135</v>
      </c>
      <c r="I8" s="591">
        <f>SUM('Summary Board'!K17:K26,'Summary Board'!K28)</f>
        <v>158890639.52914762</v>
      </c>
      <c r="J8" s="588">
        <f>SUM('Summary Board'!L17:L26,'Summary Board'!L28)</f>
        <v>150304688.25773495</v>
      </c>
      <c r="K8" s="588">
        <f>SUM('Summary Board'!M17:M26,'Summary Board'!M28)</f>
        <v>53753540.293101057</v>
      </c>
      <c r="L8" s="592">
        <f>SUM('Summary Board'!N17:N26,'Summary Board'!N28)</f>
        <v>8307309.470818527</v>
      </c>
      <c r="M8" s="603">
        <f>SUM(B8:L8)</f>
        <v>1144849927.2216785</v>
      </c>
    </row>
    <row r="9" spans="1:14" ht="13.5" thickBot="1">
      <c r="A9" s="571" t="s">
        <v>249</v>
      </c>
      <c r="B9" s="591">
        <f>Budget!C7</f>
        <v>6570000</v>
      </c>
      <c r="C9" s="593">
        <v>0</v>
      </c>
      <c r="D9" s="585">
        <f>C9</f>
        <v>0</v>
      </c>
      <c r="E9" s="572">
        <f t="shared" ref="E9:L9" si="1">D9</f>
        <v>0</v>
      </c>
      <c r="F9" s="615">
        <f t="shared" si="1"/>
        <v>0</v>
      </c>
      <c r="G9" s="585">
        <f t="shared" si="1"/>
        <v>0</v>
      </c>
      <c r="H9" s="572">
        <f t="shared" si="1"/>
        <v>0</v>
      </c>
      <c r="I9" s="615">
        <f t="shared" si="1"/>
        <v>0</v>
      </c>
      <c r="J9" s="585">
        <f t="shared" si="1"/>
        <v>0</v>
      </c>
      <c r="K9" s="585">
        <f t="shared" si="1"/>
        <v>0</v>
      </c>
      <c r="L9" s="572">
        <f t="shared" si="1"/>
        <v>0</v>
      </c>
      <c r="M9" s="604">
        <f>SUM(B9:L9)</f>
        <v>6570000</v>
      </c>
    </row>
    <row r="10" spans="1:14" ht="13.5" thickBot="1">
      <c r="A10" s="573" t="s">
        <v>3</v>
      </c>
      <c r="B10" s="633">
        <f t="shared" ref="B10:K10" si="2">SUM(B6:B9)</f>
        <v>169433983.75</v>
      </c>
      <c r="C10" s="594">
        <f t="shared" si="2"/>
        <v>250817586.64211786</v>
      </c>
      <c r="D10" s="589">
        <f t="shared" si="2"/>
        <v>129947677.81150809</v>
      </c>
      <c r="E10" s="576">
        <f t="shared" si="2"/>
        <v>30943242.893800002</v>
      </c>
      <c r="F10" s="594">
        <f t="shared" si="2"/>
        <v>138814738.8046329</v>
      </c>
      <c r="G10" s="589">
        <f t="shared" si="2"/>
        <v>225709056.09485447</v>
      </c>
      <c r="H10" s="576">
        <f t="shared" si="2"/>
        <v>48835360.474927135</v>
      </c>
      <c r="I10" s="594">
        <f t="shared" si="2"/>
        <v>158890639.52914762</v>
      </c>
      <c r="J10" s="589">
        <f t="shared" si="2"/>
        <v>150304688.25773495</v>
      </c>
      <c r="K10" s="589">
        <f t="shared" si="2"/>
        <v>53753540.293101057</v>
      </c>
      <c r="L10" s="576">
        <f>SUM(L6:L9)</f>
        <v>8307309.470818527</v>
      </c>
      <c r="M10" s="596">
        <f>SUM(M6:M9)</f>
        <v>1365757824.0226426</v>
      </c>
    </row>
    <row r="11" spans="1:14" ht="4.5" customHeight="1">
      <c r="A11" s="606"/>
      <c r="B11" s="616"/>
      <c r="C11" s="616"/>
      <c r="D11" s="607"/>
      <c r="E11" s="608"/>
      <c r="F11" s="616"/>
      <c r="G11" s="607"/>
      <c r="H11" s="608"/>
      <c r="I11" s="616"/>
      <c r="J11" s="607"/>
      <c r="K11" s="607"/>
      <c r="L11" s="608"/>
      <c r="M11" s="613"/>
    </row>
    <row r="12" spans="1:14">
      <c r="A12" s="575" t="s">
        <v>256</v>
      </c>
      <c r="B12" s="617"/>
      <c r="C12" s="617"/>
      <c r="D12" s="581"/>
      <c r="E12" s="609"/>
      <c r="F12" s="617"/>
      <c r="G12" s="581"/>
      <c r="H12" s="609"/>
      <c r="I12" s="617"/>
      <c r="J12" s="581"/>
      <c r="K12" s="581"/>
      <c r="L12" s="609"/>
      <c r="M12" s="614"/>
    </row>
    <row r="13" spans="1:14">
      <c r="A13" s="560" t="s">
        <v>241</v>
      </c>
      <c r="B13" s="618">
        <f>B10</f>
        <v>169433983.75</v>
      </c>
      <c r="C13" s="618">
        <f>IF(SUM($B$10:C10)&gt;Budget!$C$12,MAX(0,Budget!$C$12-SUM($B$13:B13)),C10)</f>
        <v>227596253.80734479</v>
      </c>
      <c r="D13" s="610">
        <f>IF(SUM($B$10:D10)&gt;Budget!$C$12,MAX(0,Budget!$C$12-SUM($B$13:C13)),D10)</f>
        <v>0</v>
      </c>
      <c r="E13" s="587">
        <f>IF(SUM($B$10:E10)&gt;Budget!$C$12,MAX(0,Budget!$C$12-SUM($B$13:D13)),E10)</f>
        <v>0</v>
      </c>
      <c r="F13" s="618">
        <f>IF(SUM($B$10:F10)&gt;Budget!$C$12,MAX(0,Budget!$C$12-SUM($B$13:E13)),F10)</f>
        <v>0</v>
      </c>
      <c r="G13" s="610">
        <f>IF(SUM($B$10:G10)&gt;Budget!$C$12,MAX(0,Budget!$C$12-SUM($B$13:F13)),G10)</f>
        <v>0</v>
      </c>
      <c r="H13" s="587">
        <f>IF(SUM($B$10:H10)&gt;Budget!$C$12,MAX(0,Budget!$C$12-SUM($B$13:G13)),H10)</f>
        <v>0</v>
      </c>
      <c r="I13" s="618">
        <f>IF(SUM($B$10:I10)&gt;Budget!$C$12,MAX(0,Budget!$C$12-SUM($B$13:H13)),I10)</f>
        <v>0</v>
      </c>
      <c r="J13" s="610">
        <f>IF(SUM($B$10:J10)&gt;Budget!$C$12,MAX(0,Budget!$C$12-SUM($B$13:I13)),J10)</f>
        <v>0</v>
      </c>
      <c r="K13" s="610">
        <f>IF(SUM($B$10:K10)&gt;Budget!$C$12,MAX(0,Budget!$C$12-SUM($B$13:J13)),K10)</f>
        <v>0</v>
      </c>
      <c r="L13" s="587">
        <f>IF(SUM($B$10:L10)&gt;Budget!$C$12,MAX(0,Budget!$C$12-SUM($B$13:K13)),L10)</f>
        <v>0</v>
      </c>
      <c r="M13" s="602">
        <f>SUM(B13:L13)</f>
        <v>397030237.55734479</v>
      </c>
      <c r="N13" s="578"/>
    </row>
    <row r="14" spans="1:14">
      <c r="A14" s="560"/>
      <c r="B14" s="590"/>
      <c r="C14" s="590"/>
      <c r="D14" s="586"/>
      <c r="E14" s="569"/>
      <c r="F14" s="590"/>
      <c r="G14" s="586"/>
      <c r="H14" s="569"/>
      <c r="I14" s="590"/>
      <c r="J14" s="586"/>
      <c r="K14" s="586"/>
      <c r="L14" s="569"/>
      <c r="M14" s="595"/>
      <c r="N14" s="578"/>
    </row>
    <row r="15" spans="1:14">
      <c r="A15" s="560" t="s">
        <v>242</v>
      </c>
      <c r="B15" s="618">
        <f>B10-B13</f>
        <v>0</v>
      </c>
      <c r="C15" s="618">
        <f>C10-C13</f>
        <v>23221332.834773064</v>
      </c>
      <c r="D15" s="610">
        <f>D10-D13</f>
        <v>129947677.81150809</v>
      </c>
      <c r="E15" s="587">
        <f t="shared" ref="E15:L15" si="3">E10-E13</f>
        <v>30943242.893800002</v>
      </c>
      <c r="F15" s="618">
        <f t="shared" si="3"/>
        <v>138814738.8046329</v>
      </c>
      <c r="G15" s="610">
        <f t="shared" si="3"/>
        <v>225709056.09485447</v>
      </c>
      <c r="H15" s="587">
        <f t="shared" si="3"/>
        <v>48835360.474927135</v>
      </c>
      <c r="I15" s="618">
        <f t="shared" si="3"/>
        <v>158890639.52914762</v>
      </c>
      <c r="J15" s="610">
        <f t="shared" si="3"/>
        <v>150304688.25773495</v>
      </c>
      <c r="K15" s="610">
        <f t="shared" si="3"/>
        <v>53753540.293101057</v>
      </c>
      <c r="L15" s="587">
        <f t="shared" si="3"/>
        <v>8307309.470818527</v>
      </c>
      <c r="M15" s="602">
        <f>SUM(B15:L15)</f>
        <v>968727586.46529794</v>
      </c>
      <c r="N15" s="579"/>
    </row>
    <row r="16" spans="1:14" ht="13.5" thickBot="1">
      <c r="A16" s="611" t="s">
        <v>243</v>
      </c>
      <c r="B16" s="619">
        <f>SUM($B$15:B15)</f>
        <v>0</v>
      </c>
      <c r="C16" s="619">
        <f>SUM($B$15:C15)</f>
        <v>23221332.834773064</v>
      </c>
      <c r="D16" s="612">
        <f>SUM($B$15:D15)</f>
        <v>153169010.64628115</v>
      </c>
      <c r="E16" s="620">
        <f>SUM($B$15:E15)</f>
        <v>184112253.54008114</v>
      </c>
      <c r="F16" s="619">
        <f>SUM($B$15:F15)</f>
        <v>322926992.34471405</v>
      </c>
      <c r="G16" s="612">
        <f>SUM($B$15:G15)</f>
        <v>548636048.43956852</v>
      </c>
      <c r="H16" s="620">
        <f>SUM($B$15:H15)</f>
        <v>597471408.91449571</v>
      </c>
      <c r="I16" s="619">
        <f>SUM($B$15:I15)</f>
        <v>756362048.44364333</v>
      </c>
      <c r="J16" s="612">
        <f>SUM($B$15:J15)</f>
        <v>906666736.70137835</v>
      </c>
      <c r="K16" s="612">
        <f>SUM($B$15:K15)</f>
        <v>960420276.99447942</v>
      </c>
      <c r="L16" s="620">
        <f>SUM($B$15:L15)</f>
        <v>968727586.46529794</v>
      </c>
      <c r="M16" s="605"/>
    </row>
    <row r="17" spans="1:14" ht="4.5" customHeight="1">
      <c r="A17" s="560"/>
      <c r="B17" s="617"/>
      <c r="C17" s="617"/>
      <c r="D17" s="581"/>
      <c r="E17" s="609"/>
      <c r="F17" s="617"/>
      <c r="G17" s="581"/>
      <c r="H17" s="609"/>
      <c r="I17" s="617"/>
      <c r="J17" s="581"/>
      <c r="K17" s="581"/>
      <c r="L17" s="609"/>
      <c r="M17" s="614"/>
      <c r="N17" s="578"/>
    </row>
    <row r="18" spans="1:14">
      <c r="A18" s="575" t="s">
        <v>257</v>
      </c>
      <c r="B18" s="617"/>
      <c r="C18" s="617"/>
      <c r="D18" s="581"/>
      <c r="E18" s="609"/>
      <c r="F18" s="617"/>
      <c r="G18" s="581"/>
      <c r="H18" s="609"/>
      <c r="I18" s="617"/>
      <c r="J18" s="581"/>
      <c r="K18" s="581"/>
      <c r="L18" s="609"/>
      <c r="M18" s="614"/>
      <c r="N18" s="578"/>
    </row>
    <row r="19" spans="1:14">
      <c r="A19" s="901" t="s">
        <v>254</v>
      </c>
      <c r="B19" s="618">
        <f t="shared" ref="B19:L19" si="4">B16*$B$39</f>
        <v>0</v>
      </c>
      <c r="C19" s="618">
        <f t="shared" si="4"/>
        <v>1393279.9700863839</v>
      </c>
      <c r="D19" s="610">
        <f>D16*$B$39</f>
        <v>9190140.6387768686</v>
      </c>
      <c r="E19" s="587">
        <f t="shared" si="4"/>
        <v>11046735.212404868</v>
      </c>
      <c r="F19" s="618">
        <f t="shared" si="4"/>
        <v>19375619.540682841</v>
      </c>
      <c r="G19" s="610">
        <f t="shared" si="4"/>
        <v>32918162.906374112</v>
      </c>
      <c r="H19" s="587">
        <f t="shared" si="4"/>
        <v>35848284.534869738</v>
      </c>
      <c r="I19" s="618">
        <f t="shared" si="4"/>
        <v>45381722.906618595</v>
      </c>
      <c r="J19" s="610">
        <f t="shared" si="4"/>
        <v>54400004.202082701</v>
      </c>
      <c r="K19" s="610">
        <f t="shared" si="4"/>
        <v>57625216.619668759</v>
      </c>
      <c r="L19" s="587">
        <f t="shared" si="4"/>
        <v>58123655.187917873</v>
      </c>
      <c r="M19" s="602">
        <f>SUM(B19:L19)</f>
        <v>325302821.71948272</v>
      </c>
    </row>
    <row r="20" spans="1:14">
      <c r="A20" s="571" t="s">
        <v>255</v>
      </c>
      <c r="B20" s="593">
        <v>0</v>
      </c>
      <c r="C20" s="615">
        <f>B20</f>
        <v>0</v>
      </c>
      <c r="D20" s="585">
        <v>0</v>
      </c>
      <c r="E20" s="572">
        <v>0</v>
      </c>
      <c r="F20" s="615">
        <f t="shared" ref="F20:H20" si="5">E20</f>
        <v>0</v>
      </c>
      <c r="G20" s="585">
        <f t="shared" si="5"/>
        <v>0</v>
      </c>
      <c r="H20" s="572">
        <f t="shared" si="5"/>
        <v>0</v>
      </c>
      <c r="I20" s="615"/>
      <c r="J20" s="585"/>
      <c r="K20" s="585"/>
      <c r="L20" s="572">
        <f>L16-SUM(C20:K20)</f>
        <v>968727586.46529794</v>
      </c>
      <c r="M20" s="604">
        <f>SUM(B20:L20)</f>
        <v>968727586.46529794</v>
      </c>
    </row>
    <row r="21" spans="1:14" ht="13.5" thickBot="1">
      <c r="A21" s="573" t="s">
        <v>258</v>
      </c>
      <c r="B21" s="594">
        <f>SUM(B19:B20)</f>
        <v>0</v>
      </c>
      <c r="C21" s="594">
        <f t="shared" ref="C21:M21" si="6">SUM(C19:C20)</f>
        <v>1393279.9700863839</v>
      </c>
      <c r="D21" s="589">
        <f t="shared" si="6"/>
        <v>9190140.6387768686</v>
      </c>
      <c r="E21" s="576">
        <f t="shared" si="6"/>
        <v>11046735.212404868</v>
      </c>
      <c r="F21" s="594">
        <f t="shared" si="6"/>
        <v>19375619.540682841</v>
      </c>
      <c r="G21" s="589">
        <f t="shared" si="6"/>
        <v>32918162.906374112</v>
      </c>
      <c r="H21" s="576">
        <f t="shared" si="6"/>
        <v>35848284.534869738</v>
      </c>
      <c r="I21" s="594">
        <f t="shared" si="6"/>
        <v>45381722.906618595</v>
      </c>
      <c r="J21" s="589">
        <f t="shared" si="6"/>
        <v>54400004.202082701</v>
      </c>
      <c r="K21" s="589">
        <f t="shared" si="6"/>
        <v>57625216.619668759</v>
      </c>
      <c r="L21" s="576">
        <f t="shared" si="6"/>
        <v>1026851241.6532158</v>
      </c>
      <c r="M21" s="596">
        <f t="shared" si="6"/>
        <v>1294030408.1847806</v>
      </c>
      <c r="N21" s="558"/>
    </row>
    <row r="22" spans="1:14" ht="4.5" customHeight="1">
      <c r="A22" s="626"/>
      <c r="B22" s="634"/>
      <c r="C22" s="634"/>
      <c r="D22" s="627"/>
      <c r="E22" s="636"/>
      <c r="F22" s="634"/>
      <c r="G22" s="627"/>
      <c r="H22" s="636"/>
      <c r="I22" s="634"/>
      <c r="J22" s="627"/>
      <c r="K22" s="627"/>
      <c r="L22" s="636"/>
      <c r="M22" s="629"/>
      <c r="N22" s="558"/>
    </row>
    <row r="23" spans="1:14">
      <c r="A23" s="575" t="s">
        <v>264</v>
      </c>
      <c r="B23" s="617"/>
      <c r="C23" s="617"/>
      <c r="D23" s="581"/>
      <c r="E23" s="609"/>
      <c r="F23" s="617"/>
      <c r="G23" s="581"/>
      <c r="H23" s="609"/>
      <c r="I23" s="617"/>
      <c r="J23" s="581"/>
      <c r="K23" s="581"/>
      <c r="L23" s="609"/>
      <c r="M23" s="614"/>
      <c r="N23" s="558"/>
    </row>
    <row r="24" spans="1:14">
      <c r="A24" s="560" t="s">
        <v>5</v>
      </c>
      <c r="B24" s="590">
        <f>'Summary Board'!D15</f>
        <v>0</v>
      </c>
      <c r="C24" s="590">
        <f>'Summary Board'!E15</f>
        <v>0</v>
      </c>
      <c r="D24" s="586">
        <f>'Summary Board'!F15</f>
        <v>52664666.377833396</v>
      </c>
      <c r="E24" s="569">
        <f>'Summary Board'!G15</f>
        <v>69063718.170802146</v>
      </c>
      <c r="F24" s="590">
        <f>'Summary Board'!H15</f>
        <v>73828876.584987</v>
      </c>
      <c r="G24" s="586">
        <f>'Summary Board'!I15</f>
        <v>99379073.728063852</v>
      </c>
      <c r="H24" s="569">
        <f>'Summary Board'!J15</f>
        <v>114015446.73912707</v>
      </c>
      <c r="I24" s="590">
        <f>'Summary Board'!K15</f>
        <v>128912898.19097564</v>
      </c>
      <c r="J24" s="586">
        <f>'Summary Board'!L15</f>
        <v>111463664.83606255</v>
      </c>
      <c r="K24" s="586">
        <f>'Summary Board'!M15</f>
        <v>188115497.7804161</v>
      </c>
      <c r="L24" s="569">
        <f>'Summary Board'!N15</f>
        <v>209330196.17563128</v>
      </c>
      <c r="M24" s="602">
        <f>SUM(B24:L24)</f>
        <v>1046774038.583899</v>
      </c>
      <c r="N24" s="558"/>
    </row>
    <row r="25" spans="1:14">
      <c r="A25" s="571" t="s">
        <v>266</v>
      </c>
      <c r="B25" s="593">
        <f>-B19</f>
        <v>0</v>
      </c>
      <c r="C25" s="615">
        <f t="shared" ref="C25:L25" si="7">-C19</f>
        <v>-1393279.9700863839</v>
      </c>
      <c r="D25" s="585">
        <f t="shared" si="7"/>
        <v>-9190140.6387768686</v>
      </c>
      <c r="E25" s="572">
        <f t="shared" si="7"/>
        <v>-11046735.212404868</v>
      </c>
      <c r="F25" s="615">
        <f t="shared" si="7"/>
        <v>-19375619.540682841</v>
      </c>
      <c r="G25" s="585">
        <f t="shared" si="7"/>
        <v>-32918162.906374112</v>
      </c>
      <c r="H25" s="572">
        <f t="shared" si="7"/>
        <v>-35848284.534869738</v>
      </c>
      <c r="I25" s="615">
        <f t="shared" si="7"/>
        <v>-45381722.906618595</v>
      </c>
      <c r="J25" s="585">
        <f t="shared" si="7"/>
        <v>-54400004.202082701</v>
      </c>
      <c r="K25" s="585">
        <f t="shared" si="7"/>
        <v>-57625216.619668759</v>
      </c>
      <c r="L25" s="572">
        <f t="shared" si="7"/>
        <v>-58123655.187917873</v>
      </c>
      <c r="M25" s="604">
        <f>SUM(B25:L25)</f>
        <v>-325302821.71948272</v>
      </c>
      <c r="N25" s="558"/>
    </row>
    <row r="26" spans="1:14" ht="13.5" thickBot="1">
      <c r="A26" s="573" t="s">
        <v>265</v>
      </c>
      <c r="B26" s="594">
        <f>SUM(B24:B25)</f>
        <v>0</v>
      </c>
      <c r="C26" s="594">
        <f t="shared" ref="C26:L26" si="8">SUM(C24:C25)</f>
        <v>-1393279.9700863839</v>
      </c>
      <c r="D26" s="589">
        <f t="shared" si="8"/>
        <v>43474525.739056528</v>
      </c>
      <c r="E26" s="576">
        <f t="shared" si="8"/>
        <v>58016982.958397277</v>
      </c>
      <c r="F26" s="594">
        <f t="shared" si="8"/>
        <v>54453257.044304162</v>
      </c>
      <c r="G26" s="589">
        <f t="shared" si="8"/>
        <v>66460910.82168974</v>
      </c>
      <c r="H26" s="576">
        <f t="shared" si="8"/>
        <v>78167162.204257339</v>
      </c>
      <c r="I26" s="594">
        <f t="shared" si="8"/>
        <v>83531175.284357041</v>
      </c>
      <c r="J26" s="589">
        <f t="shared" si="8"/>
        <v>57063660.63397985</v>
      </c>
      <c r="K26" s="589">
        <f t="shared" si="8"/>
        <v>130490281.16074735</v>
      </c>
      <c r="L26" s="576">
        <f t="shared" si="8"/>
        <v>151206540.9877134</v>
      </c>
      <c r="M26" s="596">
        <f>SUM(M24:M25)</f>
        <v>721471216.86441636</v>
      </c>
      <c r="N26" s="558"/>
    </row>
    <row r="27" spans="1:14" ht="4.5" customHeight="1">
      <c r="A27" s="630"/>
      <c r="B27" s="635"/>
      <c r="C27" s="635"/>
      <c r="D27" s="632"/>
      <c r="E27" s="637"/>
      <c r="F27" s="635"/>
      <c r="G27" s="632"/>
      <c r="H27" s="637"/>
      <c r="I27" s="635"/>
      <c r="J27" s="632"/>
      <c r="K27" s="632"/>
      <c r="L27" s="637"/>
      <c r="M27" s="631"/>
      <c r="N27" s="558"/>
    </row>
    <row r="28" spans="1:14">
      <c r="A28" s="575" t="s">
        <v>261</v>
      </c>
      <c r="B28" s="617"/>
      <c r="C28" s="617"/>
      <c r="D28" s="581"/>
      <c r="E28" s="609"/>
      <c r="F28" s="617"/>
      <c r="G28" s="581"/>
      <c r="H28" s="609"/>
      <c r="I28" s="617"/>
      <c r="J28" s="581"/>
      <c r="K28" s="581"/>
      <c r="L28" s="609"/>
      <c r="M28" s="614"/>
      <c r="N28" s="558"/>
    </row>
    <row r="29" spans="1:14">
      <c r="A29" s="560" t="s">
        <v>262</v>
      </c>
      <c r="B29" s="618">
        <f>-B13</f>
        <v>-169433983.75</v>
      </c>
      <c r="C29" s="618">
        <f t="shared" ref="C29:L29" si="9">-C13</f>
        <v>-227596253.80734479</v>
      </c>
      <c r="D29" s="610">
        <f t="shared" si="9"/>
        <v>0</v>
      </c>
      <c r="E29" s="587">
        <f t="shared" si="9"/>
        <v>0</v>
      </c>
      <c r="F29" s="618">
        <f t="shared" si="9"/>
        <v>0</v>
      </c>
      <c r="G29" s="610">
        <f t="shared" si="9"/>
        <v>0</v>
      </c>
      <c r="H29" s="587">
        <f t="shared" si="9"/>
        <v>0</v>
      </c>
      <c r="I29" s="618">
        <f t="shared" si="9"/>
        <v>0</v>
      </c>
      <c r="J29" s="610">
        <f t="shared" si="9"/>
        <v>0</v>
      </c>
      <c r="K29" s="610">
        <f t="shared" si="9"/>
        <v>0</v>
      </c>
      <c r="L29" s="587">
        <f t="shared" si="9"/>
        <v>0</v>
      </c>
      <c r="M29" s="602">
        <f>SUM(B29:L29)</f>
        <v>-397030237.55734479</v>
      </c>
      <c r="N29" s="558"/>
    </row>
    <row r="30" spans="1:14">
      <c r="A30" s="560" t="s">
        <v>263</v>
      </c>
      <c r="B30" s="624">
        <f>B26</f>
        <v>0</v>
      </c>
      <c r="C30" s="624">
        <f>C26</f>
        <v>-1393279.9700863839</v>
      </c>
      <c r="D30" s="625">
        <f t="shared" ref="D30:L30" si="10">D26</f>
        <v>43474525.739056528</v>
      </c>
      <c r="E30" s="570">
        <f t="shared" si="10"/>
        <v>58016982.958397277</v>
      </c>
      <c r="F30" s="624">
        <f t="shared" si="10"/>
        <v>54453257.044304162</v>
      </c>
      <c r="G30" s="625">
        <f t="shared" si="10"/>
        <v>66460910.82168974</v>
      </c>
      <c r="H30" s="570">
        <f t="shared" si="10"/>
        <v>78167162.204257339</v>
      </c>
      <c r="I30" s="624">
        <f t="shared" si="10"/>
        <v>83531175.284357041</v>
      </c>
      <c r="J30" s="625">
        <f t="shared" si="10"/>
        <v>57063660.63397985</v>
      </c>
      <c r="K30" s="625">
        <f t="shared" si="10"/>
        <v>130490281.16074735</v>
      </c>
      <c r="L30" s="570">
        <f t="shared" si="10"/>
        <v>151206540.9877134</v>
      </c>
      <c r="M30" s="603">
        <f>SUM(B30:L30)</f>
        <v>721471216.86441636</v>
      </c>
      <c r="N30" s="558"/>
    </row>
    <row r="31" spans="1:14">
      <c r="A31" s="560" t="s">
        <v>267</v>
      </c>
      <c r="B31" s="591">
        <f>'Summary Board'!D34</f>
        <v>0</v>
      </c>
      <c r="C31" s="591">
        <f>'Summary Board'!E34</f>
        <v>0</v>
      </c>
      <c r="D31" s="588">
        <f>'Summary Board'!F34</f>
        <v>16301249.999999998</v>
      </c>
      <c r="E31" s="588">
        <f>'Summary Board'!G34</f>
        <v>0</v>
      </c>
      <c r="F31" s="591">
        <f>'Summary Board'!H34</f>
        <v>0</v>
      </c>
      <c r="G31" s="588">
        <f>'Summary Board'!I34</f>
        <v>0</v>
      </c>
      <c r="H31" s="592">
        <f>'Summary Board'!J34</f>
        <v>0</v>
      </c>
      <c r="I31" s="591">
        <f>'Summary Board'!K34</f>
        <v>0</v>
      </c>
      <c r="J31" s="588">
        <f>'Summary Board'!L34</f>
        <v>0</v>
      </c>
      <c r="K31" s="588">
        <f>'Summary Board'!M34</f>
        <v>0</v>
      </c>
      <c r="L31" s="592">
        <f>'Summary Board'!N34</f>
        <v>1811842299.8374939</v>
      </c>
      <c r="M31" s="603">
        <f>SUM(B31:L31)</f>
        <v>1828143549.8374939</v>
      </c>
      <c r="N31" s="558"/>
    </row>
    <row r="32" spans="1:14">
      <c r="A32" s="560" t="s">
        <v>268</v>
      </c>
      <c r="B32" s="624">
        <f>'Summary Board'!D35</f>
        <v>0</v>
      </c>
      <c r="C32" s="624">
        <f>'Summary Board'!E35</f>
        <v>-489037.49999999994</v>
      </c>
      <c r="D32" s="625">
        <f>'Summary Board'!F35</f>
        <v>0</v>
      </c>
      <c r="E32" s="570">
        <f>'Summary Board'!G35</f>
        <v>0</v>
      </c>
      <c r="F32" s="624">
        <f>'Summary Board'!H35</f>
        <v>0</v>
      </c>
      <c r="G32" s="625">
        <f>'Summary Board'!I35</f>
        <v>0</v>
      </c>
      <c r="H32" s="570">
        <f>'Summary Board'!J35</f>
        <v>0</v>
      </c>
      <c r="I32" s="624">
        <f>'Summary Board'!K35</f>
        <v>0</v>
      </c>
      <c r="J32" s="625">
        <f>'Summary Board'!L35</f>
        <v>0</v>
      </c>
      <c r="K32" s="625">
        <f>'Summary Board'!M35</f>
        <v>0</v>
      </c>
      <c r="L32" s="592">
        <f>'Summary Board'!N35</f>
        <v>-54355268.995124817</v>
      </c>
      <c r="M32" s="603">
        <f>SUM(B32:L32)</f>
        <v>-54844306.495124817</v>
      </c>
      <c r="N32" s="558"/>
    </row>
    <row r="33" spans="1:14">
      <c r="A33" s="571" t="s">
        <v>269</v>
      </c>
      <c r="B33" s="615">
        <f>-B20</f>
        <v>0</v>
      </c>
      <c r="C33" s="615">
        <f t="shared" ref="C33:K33" si="11">-C20</f>
        <v>0</v>
      </c>
      <c r="D33" s="585">
        <f t="shared" si="11"/>
        <v>0</v>
      </c>
      <c r="E33" s="572">
        <f t="shared" si="11"/>
        <v>0</v>
      </c>
      <c r="F33" s="615">
        <f t="shared" si="11"/>
        <v>0</v>
      </c>
      <c r="G33" s="585">
        <f t="shared" si="11"/>
        <v>0</v>
      </c>
      <c r="H33" s="572">
        <f t="shared" si="11"/>
        <v>0</v>
      </c>
      <c r="I33" s="615">
        <f t="shared" si="11"/>
        <v>0</v>
      </c>
      <c r="J33" s="585">
        <f t="shared" si="11"/>
        <v>0</v>
      </c>
      <c r="K33" s="585">
        <f t="shared" si="11"/>
        <v>0</v>
      </c>
      <c r="L33" s="572">
        <f>-L20</f>
        <v>-968727586.46529794</v>
      </c>
      <c r="M33" s="604">
        <f>SUM(B33:L33)</f>
        <v>-968727586.46529794</v>
      </c>
      <c r="N33" s="558"/>
    </row>
    <row r="34" spans="1:14" ht="13.5" thickBot="1">
      <c r="A34" s="573" t="s">
        <v>270</v>
      </c>
      <c r="B34" s="594">
        <f t="shared" ref="B34:M34" si="12">SUM(B29:B33)</f>
        <v>-169433983.75</v>
      </c>
      <c r="C34" s="594">
        <f>SUM(C29:C33)</f>
        <v>-229478571.27743119</v>
      </c>
      <c r="D34" s="589">
        <f t="shared" si="12"/>
        <v>59775775.739056528</v>
      </c>
      <c r="E34" s="576">
        <f t="shared" si="12"/>
        <v>58016982.958397277</v>
      </c>
      <c r="F34" s="594">
        <f t="shared" si="12"/>
        <v>54453257.044304162</v>
      </c>
      <c r="G34" s="589">
        <f t="shared" si="12"/>
        <v>66460910.82168974</v>
      </c>
      <c r="H34" s="576">
        <f t="shared" si="12"/>
        <v>78167162.204257339</v>
      </c>
      <c r="I34" s="594">
        <f t="shared" si="12"/>
        <v>83531175.284357041</v>
      </c>
      <c r="J34" s="589">
        <f t="shared" si="12"/>
        <v>57063660.63397985</v>
      </c>
      <c r="K34" s="589">
        <f t="shared" si="12"/>
        <v>130490281.16074735</v>
      </c>
      <c r="L34" s="576">
        <f t="shared" si="12"/>
        <v>939965985.36478448</v>
      </c>
      <c r="M34" s="596">
        <f t="shared" si="12"/>
        <v>1129012636.1841428</v>
      </c>
      <c r="N34" s="558"/>
    </row>
    <row r="35" spans="1:14" ht="13.5" thickBot="1">
      <c r="A35" s="125" t="s">
        <v>27</v>
      </c>
      <c r="B35" s="631">
        <f>B34+NPV(B40,C34:L34)</f>
        <v>374992545.31015348</v>
      </c>
      <c r="C35" s="624"/>
      <c r="D35" s="625"/>
      <c r="E35" s="570"/>
      <c r="F35" s="624"/>
      <c r="G35" s="625"/>
      <c r="H35" s="570"/>
      <c r="I35" s="624"/>
      <c r="J35" s="625"/>
      <c r="K35" s="625"/>
      <c r="L35" s="570"/>
      <c r="M35" s="629"/>
      <c r="N35" s="558"/>
    </row>
    <row r="36" spans="1:14" ht="13.5" thickBot="1">
      <c r="A36" s="91" t="s">
        <v>271</v>
      </c>
      <c r="B36" s="642">
        <f>IRR(B34:L34,0)</f>
        <v>0.20367542197373001</v>
      </c>
      <c r="C36" s="638"/>
      <c r="D36" s="639"/>
      <c r="E36" s="640"/>
      <c r="F36" s="638"/>
      <c r="G36" s="639"/>
      <c r="H36" s="640"/>
      <c r="I36" s="638"/>
      <c r="J36" s="639"/>
      <c r="K36" s="639"/>
      <c r="L36" s="640"/>
      <c r="M36" s="628"/>
      <c r="N36" s="558"/>
    </row>
    <row r="37" spans="1:14" ht="13.5" thickBot="1">
      <c r="A37" s="558"/>
      <c r="B37" s="625"/>
      <c r="C37" s="625"/>
      <c r="D37" s="625"/>
      <c r="E37" s="625"/>
      <c r="F37" s="625"/>
      <c r="G37" s="625"/>
      <c r="H37" s="625"/>
      <c r="I37" s="625"/>
      <c r="J37" s="625"/>
      <c r="K37" s="625"/>
      <c r="L37" s="625"/>
      <c r="M37" s="627"/>
      <c r="N37" s="558"/>
    </row>
    <row r="38" spans="1:14" ht="13.5" thickBot="1">
      <c r="A38" s="622" t="s">
        <v>260</v>
      </c>
      <c r="B38" s="623"/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58"/>
    </row>
    <row r="39" spans="1:14">
      <c r="A39" s="606" t="s">
        <v>259</v>
      </c>
      <c r="B39" s="641">
        <v>0.06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8"/>
      <c r="N39" s="558"/>
    </row>
    <row r="40" spans="1:14" ht="13.5" thickBot="1">
      <c r="A40" s="611" t="s">
        <v>106</v>
      </c>
      <c r="B40" s="621">
        <v>0.09</v>
      </c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8"/>
      <c r="N40" s="558"/>
    </row>
    <row r="41" spans="1:14">
      <c r="A41" s="558"/>
      <c r="B41" s="581"/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58"/>
      <c r="N41" s="558"/>
    </row>
    <row r="42" spans="1:14">
      <c r="A42" s="558"/>
      <c r="B42" s="581"/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58"/>
      <c r="N42" s="558"/>
    </row>
    <row r="43" spans="1:14">
      <c r="A43" s="558"/>
      <c r="B43" s="581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58"/>
      <c r="N43" s="558"/>
    </row>
    <row r="44" spans="1:14">
      <c r="A44" s="558"/>
      <c r="B44" s="581"/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58"/>
      <c r="N44" s="558"/>
    </row>
    <row r="45" spans="1:14">
      <c r="A45" s="558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58"/>
      <c r="N45" s="558"/>
    </row>
    <row r="46" spans="1:14">
      <c r="A46" s="558"/>
      <c r="B46" s="581"/>
      <c r="C46" s="581"/>
      <c r="D46" s="581"/>
      <c r="E46" s="581"/>
      <c r="F46" s="581"/>
      <c r="G46" s="581"/>
      <c r="H46" s="581"/>
      <c r="I46" s="581"/>
      <c r="J46" s="581"/>
      <c r="K46" s="581"/>
      <c r="L46" s="581"/>
      <c r="M46" s="558"/>
      <c r="N46" s="558"/>
    </row>
    <row r="47" spans="1:14">
      <c r="A47" s="558"/>
      <c r="B47" s="581"/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58"/>
      <c r="N47" s="558"/>
    </row>
    <row r="48" spans="1:14">
      <c r="A48" s="558"/>
      <c r="B48" s="581"/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58"/>
      <c r="N48" s="558"/>
    </row>
    <row r="49" spans="1:14">
      <c r="A49" s="558"/>
      <c r="B49" s="581"/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58"/>
      <c r="N49" s="558"/>
    </row>
    <row r="50" spans="1:14">
      <c r="A50" s="558"/>
      <c r="B50" s="559"/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</row>
    <row r="51" spans="1:14">
      <c r="A51" s="558"/>
      <c r="B51" s="581"/>
      <c r="C51" s="581"/>
      <c r="D51" s="581"/>
      <c r="E51" s="581"/>
      <c r="F51" s="581"/>
      <c r="G51" s="581"/>
      <c r="H51" s="581"/>
      <c r="I51" s="581"/>
      <c r="J51" s="581"/>
      <c r="K51" s="581"/>
      <c r="L51" s="581"/>
      <c r="M51" s="558"/>
      <c r="N51" s="558"/>
    </row>
    <row r="52" spans="1:14">
      <c r="B52" s="580"/>
    </row>
  </sheetData>
  <printOptions horizontalCentered="1"/>
  <pageMargins left="0.45" right="0.45" top="0.5" bottom="0.5" header="0.3" footer="0.3"/>
  <pageSetup scale="6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5" zoomScaleNormal="100" zoomScaleSheetLayoutView="85" zoomScalePageLayoutView="70" workbookViewId="0">
      <selection activeCell="E13" sqref="E13"/>
    </sheetView>
  </sheetViews>
  <sheetFormatPr defaultColWidth="9.140625" defaultRowHeight="12.75"/>
  <cols>
    <col min="1" max="1" width="9.140625" style="39"/>
    <col min="2" max="2" width="13.7109375" style="39" customWidth="1"/>
    <col min="3" max="3" width="8.28515625" style="61" customWidth="1"/>
    <col min="4" max="4" width="13.7109375" style="61" customWidth="1"/>
    <col min="5" max="14" width="13.7109375" style="39" customWidth="1"/>
    <col min="15" max="16384" width="9.140625" style="39"/>
  </cols>
  <sheetData>
    <row r="1" spans="1:15" ht="13.5" customHeight="1" thickBot="1">
      <c r="A1" s="850" t="s">
        <v>415</v>
      </c>
      <c r="M1" s="151" t="s">
        <v>107</v>
      </c>
      <c r="N1" s="351">
        <v>175175</v>
      </c>
    </row>
    <row r="2" spans="1:15" ht="14.1" customHeight="1" thickBot="1">
      <c r="O2" s="60"/>
    </row>
    <row r="3" spans="1:15" ht="14.1" customHeight="1" thickBot="1">
      <c r="A3" s="193"/>
      <c r="B3" s="194"/>
      <c r="C3" s="195"/>
      <c r="D3" s="145" t="s">
        <v>58</v>
      </c>
      <c r="E3" s="114" t="s">
        <v>37</v>
      </c>
      <c r="F3" s="115"/>
      <c r="G3" s="46"/>
      <c r="H3" s="114" t="s">
        <v>80</v>
      </c>
      <c r="I3" s="160"/>
      <c r="J3" s="46"/>
      <c r="K3" s="44" t="s">
        <v>81</v>
      </c>
      <c r="L3" s="44"/>
      <c r="M3" s="45"/>
      <c r="N3" s="46"/>
    </row>
    <row r="4" spans="1:15" ht="14.1" customHeight="1" thickBot="1">
      <c r="A4" s="137"/>
      <c r="B4" s="109"/>
      <c r="C4" s="196"/>
      <c r="D4" s="153">
        <v>0</v>
      </c>
      <c r="E4" s="112">
        <f>D4+1</f>
        <v>1</v>
      </c>
      <c r="F4" s="111">
        <f t="shared" ref="F4:N4" si="0">E4+1</f>
        <v>2</v>
      </c>
      <c r="G4" s="113">
        <f t="shared" si="0"/>
        <v>3</v>
      </c>
      <c r="H4" s="112">
        <f t="shared" si="0"/>
        <v>4</v>
      </c>
      <c r="I4" s="152">
        <f t="shared" si="0"/>
        <v>5</v>
      </c>
      <c r="J4" s="113">
        <f t="shared" si="0"/>
        <v>6</v>
      </c>
      <c r="K4" s="111">
        <f t="shared" si="0"/>
        <v>7</v>
      </c>
      <c r="L4" s="111">
        <f t="shared" si="0"/>
        <v>8</v>
      </c>
      <c r="M4" s="111">
        <f t="shared" si="0"/>
        <v>9</v>
      </c>
      <c r="N4" s="113">
        <f t="shared" si="0"/>
        <v>10</v>
      </c>
    </row>
    <row r="5" spans="1:15" ht="14.1" customHeight="1" thickBot="1">
      <c r="A5" s="197"/>
      <c r="B5" s="198"/>
      <c r="C5" s="199"/>
      <c r="D5" s="153" t="s">
        <v>311</v>
      </c>
      <c r="E5" s="300">
        <v>2019</v>
      </c>
      <c r="F5" s="111">
        <f>E5+1</f>
        <v>2020</v>
      </c>
      <c r="G5" s="113">
        <f t="shared" ref="G5:L5" si="1">F5+1</f>
        <v>2021</v>
      </c>
      <c r="H5" s="112">
        <f t="shared" si="1"/>
        <v>2022</v>
      </c>
      <c r="I5" s="111">
        <f t="shared" si="1"/>
        <v>2023</v>
      </c>
      <c r="J5" s="113">
        <f t="shared" si="1"/>
        <v>2024</v>
      </c>
      <c r="K5" s="111">
        <f t="shared" si="1"/>
        <v>2025</v>
      </c>
      <c r="L5" s="111">
        <f t="shared" si="1"/>
        <v>2026</v>
      </c>
      <c r="M5" s="111">
        <f>L5+1</f>
        <v>2027</v>
      </c>
      <c r="N5" s="113">
        <f>M5+1</f>
        <v>2028</v>
      </c>
    </row>
    <row r="6" spans="1:15" ht="14.1" customHeight="1">
      <c r="A6" s="192" t="s">
        <v>105</v>
      </c>
      <c r="B6" s="118"/>
      <c r="C6" s="138">
        <v>0.03</v>
      </c>
      <c r="D6" s="146"/>
      <c r="E6" s="149"/>
      <c r="F6" s="117"/>
      <c r="G6" s="121"/>
      <c r="H6" s="149"/>
      <c r="I6" s="117"/>
      <c r="J6" s="121"/>
      <c r="K6" s="117"/>
      <c r="L6" s="117"/>
      <c r="M6" s="117"/>
      <c r="N6" s="121"/>
    </row>
    <row r="7" spans="1:15" ht="3.75" customHeight="1" thickBot="1">
      <c r="A7" s="192"/>
      <c r="B7" s="118"/>
      <c r="C7" s="138"/>
      <c r="D7" s="146"/>
      <c r="E7" s="149"/>
      <c r="F7" s="117"/>
      <c r="G7" s="121"/>
      <c r="H7" s="149"/>
      <c r="I7" s="117"/>
      <c r="J7" s="121"/>
      <c r="K7" s="117"/>
      <c r="L7" s="117"/>
      <c r="M7" s="117"/>
      <c r="N7" s="121"/>
    </row>
    <row r="8" spans="1:15" ht="13.5" thickBot="1">
      <c r="A8" s="241" t="s">
        <v>7</v>
      </c>
      <c r="B8" s="242"/>
      <c r="C8" s="243"/>
      <c r="D8" s="244"/>
      <c r="E8" s="217"/>
      <c r="F8" s="242"/>
      <c r="G8" s="245"/>
      <c r="H8" s="217"/>
      <c r="I8" s="242"/>
      <c r="J8" s="245"/>
      <c r="K8" s="242"/>
      <c r="L8" s="242"/>
      <c r="M8" s="242"/>
      <c r="N8" s="245"/>
    </row>
    <row r="9" spans="1:15" ht="14.1" customHeight="1">
      <c r="A9" s="123" t="s">
        <v>54</v>
      </c>
      <c r="B9" s="118"/>
      <c r="C9" s="119"/>
      <c r="D9" s="176">
        <f>'Development Schedule'!D86*$E$23*((1+$C$6)^D$4)</f>
        <v>0</v>
      </c>
      <c r="E9" s="177">
        <f>'Development Schedule'!E86*$E$23*((1+$C$6)^E$4)</f>
        <v>1787084.3333333333</v>
      </c>
      <c r="F9" s="178">
        <f>'Development Schedule'!F86*$E$23*((1+$C$6)^F$4)</f>
        <v>5002479.4516666662</v>
      </c>
      <c r="G9" s="179">
        <f>'Development Schedule'!G86*$E$23*((1+$C$6)^G$4)</f>
        <v>2102297.4753</v>
      </c>
      <c r="H9" s="177">
        <f>'Development Schedule'!H86*$E$23*((1+$C$6)^H$4)</f>
        <v>5039344.104436785</v>
      </c>
      <c r="I9" s="178">
        <f>'Development Schedule'!I86*$E$23*((1+$C$6)^I$4)</f>
        <v>0</v>
      </c>
      <c r="J9" s="179">
        <f>'Development Schedule'!J86*$E$23*((1+$C$6)^J$4)</f>
        <v>0</v>
      </c>
      <c r="K9" s="178">
        <f>'Development Schedule'!K86*$E$23*((1+$C$6)^K$4)</f>
        <v>0</v>
      </c>
      <c r="L9" s="178">
        <f>'Development Schedule'!L86*$E$23*((1+$C$6)^L$4)</f>
        <v>0</v>
      </c>
      <c r="M9" s="178">
        <f>'Development Schedule'!M86*$E$23*((1+$C$6)^M$4)</f>
        <v>795911.64213583909</v>
      </c>
      <c r="N9" s="179">
        <f>'Development Schedule'!N86*$E$23*((1+$C$6)^N$4)</f>
        <v>0</v>
      </c>
    </row>
    <row r="10" spans="1:15" ht="13.5" customHeight="1" thickBot="1">
      <c r="A10" s="131" t="s">
        <v>33</v>
      </c>
      <c r="B10" s="132"/>
      <c r="C10" s="133"/>
      <c r="D10" s="161">
        <f t="shared" ref="D10:N10" si="2">SUM(D9:D9)</f>
        <v>0</v>
      </c>
      <c r="E10" s="162">
        <f t="shared" si="2"/>
        <v>1787084.3333333333</v>
      </c>
      <c r="F10" s="163">
        <f t="shared" si="2"/>
        <v>5002479.4516666662</v>
      </c>
      <c r="G10" s="164">
        <f t="shared" si="2"/>
        <v>2102297.4753</v>
      </c>
      <c r="H10" s="162">
        <f t="shared" si="2"/>
        <v>5039344.104436785</v>
      </c>
      <c r="I10" s="163">
        <f t="shared" si="2"/>
        <v>0</v>
      </c>
      <c r="J10" s="164">
        <f t="shared" si="2"/>
        <v>0</v>
      </c>
      <c r="K10" s="163">
        <f t="shared" si="2"/>
        <v>0</v>
      </c>
      <c r="L10" s="163">
        <f t="shared" si="2"/>
        <v>0</v>
      </c>
      <c r="M10" s="163">
        <f t="shared" si="2"/>
        <v>795911.64213583909</v>
      </c>
      <c r="N10" s="164">
        <f t="shared" si="2"/>
        <v>0</v>
      </c>
    </row>
    <row r="11" spans="1:15" ht="13.5" thickBot="1">
      <c r="A11" s="241" t="s">
        <v>8</v>
      </c>
      <c r="B11" s="242"/>
      <c r="C11" s="243"/>
      <c r="D11" s="244"/>
      <c r="E11" s="217"/>
      <c r="F11" s="242"/>
      <c r="G11" s="245"/>
      <c r="H11" s="217"/>
      <c r="I11" s="242"/>
      <c r="J11" s="245"/>
      <c r="K11" s="242"/>
      <c r="L11" s="242"/>
      <c r="M11" s="242"/>
      <c r="N11" s="245"/>
    </row>
    <row r="12" spans="1:15" ht="14.1" customHeight="1">
      <c r="A12" s="124" t="s">
        <v>347</v>
      </c>
      <c r="B12" s="81"/>
      <c r="C12" s="118"/>
      <c r="D12" s="176">
        <f>'Development Schedule'!D87*$E$22*((1+$C$6)^D$4)</f>
        <v>0</v>
      </c>
      <c r="E12" s="177">
        <f>'Development Schedule'!E87*$E$22*((1+$C$6)^E$4)</f>
        <v>432600</v>
      </c>
      <c r="F12" s="178">
        <f>'Development Schedule'!F87*$E$22*((1+$C$6)^F$4)</f>
        <v>0</v>
      </c>
      <c r="G12" s="179">
        <f>'Development Schedule'!G87*$E$22*((1+$C$6)^G$4)</f>
        <v>0</v>
      </c>
      <c r="H12" s="177">
        <f>'Development Schedule'!H87*$E$22*((1+$C$6)^H$4)</f>
        <v>0</v>
      </c>
      <c r="I12" s="178">
        <f>'Development Schedule'!I87*$E$22*((1+$C$6)^I$4)</f>
        <v>0</v>
      </c>
      <c r="J12" s="179">
        <f>'Development Schedule'!J87*$E$22*((1+$C$6)^J$4)</f>
        <v>0</v>
      </c>
      <c r="K12" s="178">
        <f>'Development Schedule'!K87*$E$22*((1+$C$6)^K$4)</f>
        <v>0</v>
      </c>
      <c r="L12" s="178">
        <f>'Development Schedule'!L87*$E$22*((1+$C$6)^L$4)</f>
        <v>0</v>
      </c>
      <c r="M12" s="178">
        <f>'Development Schedule'!M87*$E$22*((1+$C$6)^M$4)</f>
        <v>0</v>
      </c>
      <c r="N12" s="179">
        <f>'Development Schedule'!N87*$E$22*((1+$C$6)^N$4)</f>
        <v>0</v>
      </c>
    </row>
    <row r="13" spans="1:15" ht="14.1" customHeight="1">
      <c r="A13" s="124" t="s">
        <v>348</v>
      </c>
      <c r="B13" s="81"/>
      <c r="C13" s="118"/>
      <c r="D13" s="180">
        <f>'Development Schedule'!D88*$E$25*((1+$C$6)^D$4)</f>
        <v>0</v>
      </c>
      <c r="E13" s="181">
        <f>'Development Schedule'!E88*$E$25*((1+$C$6)^E$4)</f>
        <v>2734650</v>
      </c>
      <c r="F13" s="182">
        <f>'Development Schedule'!F88*$E$25*((1+$C$6)^F$4)</f>
        <v>0</v>
      </c>
      <c r="G13" s="183">
        <f>'Development Schedule'!G88*$E$25*((1+$C$6)^G$4)</f>
        <v>0</v>
      </c>
      <c r="H13" s="181">
        <f>'Development Schedule'!H88*$E$25*((1+$C$6)^H$4)</f>
        <v>0</v>
      </c>
      <c r="I13" s="182">
        <f>'Development Schedule'!I88*$E$25*((1+$C$6)^I$4)</f>
        <v>0</v>
      </c>
      <c r="J13" s="183">
        <f>'Development Schedule'!J88*$E$25*((1+$C$6)^J$4)</f>
        <v>0</v>
      </c>
      <c r="K13" s="182">
        <f>'Development Schedule'!K88*$E$25*((1+$C$6)^K$4)</f>
        <v>0</v>
      </c>
      <c r="L13" s="182">
        <f>'Development Schedule'!L88*$E$25*((1+$C$6)^L$4)</f>
        <v>0</v>
      </c>
      <c r="M13" s="182">
        <f>'Development Schedule'!M88*$E$25*((1+$C$6)^M$4)</f>
        <v>0</v>
      </c>
      <c r="N13" s="183">
        <f>'Development Schedule'!N88*$E$25*((1+$C$6)^N$4)</f>
        <v>0</v>
      </c>
    </row>
    <row r="14" spans="1:15" ht="14.1" customHeight="1">
      <c r="A14" s="124" t="s">
        <v>360</v>
      </c>
      <c r="B14" s="81"/>
      <c r="C14" s="118"/>
      <c r="D14" s="180">
        <f>'Development Schedule'!D89*$E$27*((1+$C$6)^D$4)</f>
        <v>0</v>
      </c>
      <c r="E14" s="181">
        <f>'Development Schedule'!E89*$E$27*((1+$C$6)^E$4)</f>
        <v>0</v>
      </c>
      <c r="F14" s="182">
        <f>'Development Schedule'!F89*$E$27*((1+$C$6)^F$4)</f>
        <v>2291544</v>
      </c>
      <c r="G14" s="183">
        <f>'Development Schedule'!G89*$E$27*((1+$C$6)^G$4)</f>
        <v>0</v>
      </c>
      <c r="H14" s="181">
        <f>'Development Schedule'!H89*$E$27*((1+$C$6)^H$4)</f>
        <v>0</v>
      </c>
      <c r="I14" s="182">
        <f>'Development Schedule'!I89*$E$27*((1+$C$6)^I$4)</f>
        <v>0</v>
      </c>
      <c r="J14" s="183">
        <f>'Development Schedule'!J89*$E$27*((1+$C$6)^J$4)</f>
        <v>0</v>
      </c>
      <c r="K14" s="182">
        <f>'Development Schedule'!K89*$E$27*((1+$C$6)^K$4)</f>
        <v>0</v>
      </c>
      <c r="L14" s="182">
        <f>'Development Schedule'!L89*$E$27*((1+$C$6)^L$4)</f>
        <v>0</v>
      </c>
      <c r="M14" s="182">
        <f>'Development Schedule'!M89*$E$27*((1+$C$6)^M$4)</f>
        <v>0</v>
      </c>
      <c r="N14" s="183">
        <f>'Development Schedule'!N89*$E$27*((1+$C$6)^N$4)</f>
        <v>0</v>
      </c>
    </row>
    <row r="15" spans="1:15" ht="14.1" customHeight="1">
      <c r="A15" s="124" t="s">
        <v>330</v>
      </c>
      <c r="B15" s="81"/>
      <c r="C15" s="118"/>
      <c r="D15" s="180">
        <f>'Development Schedule'!D90*$E$26*((1+$C$6)^D$4)</f>
        <v>0</v>
      </c>
      <c r="E15" s="181">
        <f>'Development Schedule'!E90*$E$26*((1+$C$6)^E$4)</f>
        <v>0</v>
      </c>
      <c r="F15" s="182">
        <f>'Development Schedule'!F90*$E$26*((1+$C$6)^F$4)</f>
        <v>636540</v>
      </c>
      <c r="G15" s="183">
        <f>'Development Schedule'!G90*$E$26*((1+$C$6)^G$4)</f>
        <v>0</v>
      </c>
      <c r="H15" s="181">
        <f>'Development Schedule'!H90*$E$26*((1+$C$6)^H$4)</f>
        <v>0</v>
      </c>
      <c r="I15" s="182">
        <f>'Development Schedule'!I90*$E$26*((1+$C$6)^I$4)</f>
        <v>0</v>
      </c>
      <c r="J15" s="183">
        <f>'Development Schedule'!J90*$E$26*((1+$C$6)^J$4)</f>
        <v>0</v>
      </c>
      <c r="K15" s="182">
        <f>'Development Schedule'!K90*$E$26*((1+$C$6)^K$4)</f>
        <v>0</v>
      </c>
      <c r="L15" s="182">
        <f>'Development Schedule'!L90*$E$26*((1+$C$6)^L$4)</f>
        <v>0</v>
      </c>
      <c r="M15" s="182">
        <f>'Development Schedule'!M90*$E$26*((1+$C$6)^M$4)</f>
        <v>0</v>
      </c>
      <c r="N15" s="183">
        <f>'Development Schedule'!N90*$E$26*((1+$C$6)^N$4)</f>
        <v>0</v>
      </c>
    </row>
    <row r="16" spans="1:15" ht="14.1" customHeight="1">
      <c r="A16" s="124" t="s">
        <v>349</v>
      </c>
      <c r="B16" s="81"/>
      <c r="C16" s="118"/>
      <c r="D16" s="180">
        <f>'Development Schedule'!D91*$E$25*((1+$C$6)^D$4)</f>
        <v>0</v>
      </c>
      <c r="E16" s="931">
        <f>'Development Schedule'!E91*$E$25*((1+$C$6)^E$4)</f>
        <v>1751000</v>
      </c>
      <c r="F16" s="933">
        <f>'Development Schedule'!F91*$E$25*((1+$C$6)^F$4)</f>
        <v>0</v>
      </c>
      <c r="G16" s="932">
        <f>'Development Schedule'!G91*$E$25*((1+$C$6)^G$4)</f>
        <v>0</v>
      </c>
      <c r="H16" s="931">
        <f>'Development Schedule'!H91*$E$25*((1+$C$6)^H$4)</f>
        <v>0</v>
      </c>
      <c r="I16" s="933">
        <f>'Development Schedule'!I91*$E$25*((1+$C$6)^I$4)</f>
        <v>0</v>
      </c>
      <c r="J16" s="932">
        <f>'Development Schedule'!J91*$E$25*((1+$C$6)^J$4)</f>
        <v>0</v>
      </c>
      <c r="K16" s="931">
        <f>'Development Schedule'!K91*$E$25*((1+$C$6)^K$4)</f>
        <v>0</v>
      </c>
      <c r="L16" s="933">
        <f>'Development Schedule'!L91*$E$25*((1+$C$6)^L$4)</f>
        <v>0</v>
      </c>
      <c r="M16" s="933">
        <f>'Development Schedule'!M91*$E$25*((1+$C$6)^M$4)</f>
        <v>0</v>
      </c>
      <c r="N16" s="932">
        <f>'Development Schedule'!N91*$E$25*((1+$C$6)^N$4)</f>
        <v>0</v>
      </c>
    </row>
    <row r="17" spans="1:14" s="130" customFormat="1" ht="14.1" customHeight="1" thickBot="1">
      <c r="A17" s="1124" t="s">
        <v>33</v>
      </c>
      <c r="B17" s="1125"/>
      <c r="C17" s="136"/>
      <c r="D17" s="170">
        <f>SUM(D12:D16)</f>
        <v>0</v>
      </c>
      <c r="E17" s="171">
        <f t="shared" ref="E17:N17" si="3">SUM(E12:E16)</f>
        <v>4918250</v>
      </c>
      <c r="F17" s="172">
        <f t="shared" si="3"/>
        <v>2928084</v>
      </c>
      <c r="G17" s="173">
        <f t="shared" si="3"/>
        <v>0</v>
      </c>
      <c r="H17" s="171">
        <f t="shared" si="3"/>
        <v>0</v>
      </c>
      <c r="I17" s="172">
        <f t="shared" si="3"/>
        <v>0</v>
      </c>
      <c r="J17" s="173">
        <f t="shared" si="3"/>
        <v>0</v>
      </c>
      <c r="K17" s="172">
        <f t="shared" si="3"/>
        <v>0</v>
      </c>
      <c r="L17" s="172">
        <f t="shared" si="3"/>
        <v>0</v>
      </c>
      <c r="M17" s="172">
        <f t="shared" si="3"/>
        <v>0</v>
      </c>
      <c r="N17" s="173">
        <f t="shared" si="3"/>
        <v>0</v>
      </c>
    </row>
    <row r="18" spans="1:14" ht="13.5" thickBot="1">
      <c r="A18" s="91" t="s">
        <v>9</v>
      </c>
      <c r="B18" s="92"/>
      <c r="C18" s="169"/>
      <c r="D18" s="170">
        <f t="shared" ref="D18:N18" si="4">SUM(D10,D17)</f>
        <v>0</v>
      </c>
      <c r="E18" s="171">
        <f t="shared" si="4"/>
        <v>6705334.333333333</v>
      </c>
      <c r="F18" s="172">
        <f t="shared" si="4"/>
        <v>7930563.4516666662</v>
      </c>
      <c r="G18" s="173">
        <f t="shared" si="4"/>
        <v>2102297.4753</v>
      </c>
      <c r="H18" s="171">
        <f t="shared" si="4"/>
        <v>5039344.104436785</v>
      </c>
      <c r="I18" s="172">
        <f t="shared" si="4"/>
        <v>0</v>
      </c>
      <c r="J18" s="173">
        <f t="shared" si="4"/>
        <v>0</v>
      </c>
      <c r="K18" s="172">
        <f t="shared" si="4"/>
        <v>0</v>
      </c>
      <c r="L18" s="172">
        <f t="shared" si="4"/>
        <v>0</v>
      </c>
      <c r="M18" s="172">
        <f t="shared" si="4"/>
        <v>795911.64213583909</v>
      </c>
      <c r="N18" s="173">
        <f t="shared" si="4"/>
        <v>0</v>
      </c>
    </row>
    <row r="19" spans="1:14" ht="13.5" thickBot="1">
      <c r="A19" s="126" t="s">
        <v>36</v>
      </c>
      <c r="B19" s="127"/>
      <c r="C19" s="128"/>
      <c r="D19" s="170">
        <f>D18+NPV(E28,E18:N18)</f>
        <v>18386497.088712867</v>
      </c>
      <c r="E19" s="89"/>
      <c r="F19" s="134"/>
      <c r="G19" s="134"/>
      <c r="H19" s="134"/>
      <c r="I19" s="134"/>
      <c r="J19" s="134"/>
      <c r="K19" s="134"/>
      <c r="L19" s="134"/>
      <c r="M19" s="134"/>
      <c r="N19" s="135"/>
    </row>
    <row r="20" spans="1:14" ht="13.5" thickBot="1"/>
    <row r="21" spans="1:14" ht="13.5" thickBot="1">
      <c r="A21" s="142" t="s">
        <v>15</v>
      </c>
      <c r="B21" s="143"/>
      <c r="C21" s="143"/>
      <c r="D21" s="175"/>
      <c r="E21" s="144"/>
    </row>
    <row r="22" spans="1:14">
      <c r="A22" s="67" t="s">
        <v>362</v>
      </c>
      <c r="B22" s="77"/>
      <c r="C22" s="77"/>
      <c r="D22" s="77"/>
      <c r="E22" s="174">
        <v>35</v>
      </c>
    </row>
    <row r="23" spans="1:14">
      <c r="A23" s="67" t="s">
        <v>138</v>
      </c>
      <c r="B23" s="77"/>
      <c r="C23" s="68"/>
      <c r="D23" s="77"/>
      <c r="E23" s="140">
        <v>25</v>
      </c>
    </row>
    <row r="24" spans="1:14" ht="14.25">
      <c r="A24" s="67" t="s">
        <v>307</v>
      </c>
      <c r="B24" s="77"/>
      <c r="C24" s="68"/>
      <c r="D24" s="77"/>
      <c r="E24" s="140">
        <v>25</v>
      </c>
    </row>
    <row r="25" spans="1:14">
      <c r="A25" s="67" t="s">
        <v>363</v>
      </c>
      <c r="B25" s="77"/>
      <c r="C25" s="68"/>
      <c r="D25" s="77"/>
      <c r="E25" s="140">
        <v>20</v>
      </c>
    </row>
    <row r="26" spans="1:14">
      <c r="A26" s="844" t="s">
        <v>321</v>
      </c>
      <c r="B26" s="77"/>
      <c r="C26" s="68"/>
      <c r="D26" s="77"/>
      <c r="E26" s="140">
        <v>40</v>
      </c>
      <c r="F26" s="39" t="s">
        <v>323</v>
      </c>
    </row>
    <row r="27" spans="1:14">
      <c r="A27" s="844" t="s">
        <v>322</v>
      </c>
      <c r="B27" s="77"/>
      <c r="C27" s="68"/>
      <c r="D27" s="77"/>
      <c r="E27" s="140">
        <v>180</v>
      </c>
      <c r="F27" s="39" t="s">
        <v>324</v>
      </c>
    </row>
    <row r="28" spans="1:14" ht="13.5" thickBot="1">
      <c r="A28" s="70" t="s">
        <v>106</v>
      </c>
      <c r="B28" s="129"/>
      <c r="C28" s="71"/>
      <c r="D28" s="129"/>
      <c r="E28" s="141">
        <v>0.09</v>
      </c>
    </row>
    <row r="29" spans="1:14">
      <c r="A29" s="39" t="s">
        <v>308</v>
      </c>
    </row>
    <row r="31" spans="1:14">
      <c r="A31" s="850" t="s">
        <v>406</v>
      </c>
    </row>
  </sheetData>
  <mergeCells count="1">
    <mergeCell ref="A17:B17"/>
  </mergeCells>
  <phoneticPr fontId="3" type="noConversion"/>
  <printOptions horizontalCentered="1"/>
  <pageMargins left="0.5" right="0.5" top="1" bottom="0.5" header="0.5" footer="0.5"/>
  <pageSetup scale="70" orientation="landscape" r:id="rId1"/>
  <headerFooter alignWithMargins="0">
    <oddHeader>&amp;L&amp;"Arial,Bold"1. Infrastructure Costs by Year, Allocated by Use Types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view="pageBreakPreview" topLeftCell="A47" zoomScale="85" zoomScaleNormal="100" zoomScaleSheetLayoutView="85" workbookViewId="0">
      <selection activeCell="F76" sqref="F76"/>
    </sheetView>
  </sheetViews>
  <sheetFormatPr defaultColWidth="9.140625" defaultRowHeight="12.75"/>
  <cols>
    <col min="1" max="1" width="28.140625" style="107" customWidth="1"/>
    <col min="2" max="2" width="12.7109375" style="108" customWidth="1"/>
    <col min="3" max="3" width="15.42578125" style="108" bestFit="1" customWidth="1"/>
    <col min="4" max="4" width="13.7109375" style="107" customWidth="1"/>
    <col min="5" max="5" width="14.42578125" style="107" bestFit="1" customWidth="1"/>
    <col min="6" max="12" width="13.7109375" style="107" customWidth="1"/>
    <col min="13" max="13" width="15.42578125" style="107" bestFit="1" customWidth="1"/>
    <col min="14" max="14" width="15.28515625" style="107" bestFit="1" customWidth="1"/>
    <col min="15" max="16384" width="9.140625" style="107"/>
  </cols>
  <sheetData>
    <row r="1" spans="1:13" ht="14.1" customHeight="1" thickBot="1">
      <c r="A1" s="39"/>
      <c r="B1" s="61"/>
      <c r="C1" s="6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3" ht="14.1" customHeight="1" thickBot="1">
      <c r="A2" s="39"/>
      <c r="B2" s="61"/>
      <c r="C2" s="61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4.1" customHeight="1" thickBot="1">
      <c r="A3" s="139"/>
      <c r="B3" s="222"/>
      <c r="C3" s="145" t="s">
        <v>58</v>
      </c>
      <c r="D3" s="114" t="s">
        <v>37</v>
      </c>
      <c r="E3" s="115"/>
      <c r="F3" s="46"/>
      <c r="G3" s="114" t="s">
        <v>80</v>
      </c>
      <c r="H3" s="160"/>
      <c r="I3" s="46"/>
      <c r="J3" s="44" t="s">
        <v>81</v>
      </c>
      <c r="K3" s="44"/>
      <c r="L3" s="45"/>
      <c r="M3" s="46"/>
    </row>
    <row r="4" spans="1:13" ht="14.1" customHeight="1" thickBot="1">
      <c r="A4" s="67"/>
      <c r="B4" s="68"/>
      <c r="C4" s="153">
        <v>0</v>
      </c>
      <c r="D4" s="112">
        <f>C4+1</f>
        <v>1</v>
      </c>
      <c r="E4" s="111">
        <f t="shared" ref="E4:M5" si="0">D4+1</f>
        <v>2</v>
      </c>
      <c r="F4" s="113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1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13" ht="13.5" customHeight="1" thickBot="1">
      <c r="A5" s="70"/>
      <c r="B5" s="152"/>
      <c r="C5" s="153" t="s">
        <v>311</v>
      </c>
      <c r="D5" s="300">
        <v>2019</v>
      </c>
      <c r="E5" s="111">
        <f>D5+1</f>
        <v>2020</v>
      </c>
      <c r="F5" s="113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1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</row>
    <row r="6" spans="1:13" ht="13.5" thickBot="1">
      <c r="A6" s="217" t="s">
        <v>10</v>
      </c>
      <c r="B6" s="214"/>
      <c r="C6" s="223"/>
      <c r="D6" s="226"/>
      <c r="E6" s="215"/>
      <c r="F6" s="216"/>
      <c r="G6" s="226"/>
      <c r="H6" s="215"/>
      <c r="I6" s="216"/>
      <c r="J6" s="226"/>
      <c r="K6" s="215"/>
      <c r="L6" s="215"/>
      <c r="M6" s="216"/>
    </row>
    <row r="7" spans="1:13" s="39" customFormat="1" hidden="1">
      <c r="A7" s="66" t="s">
        <v>394</v>
      </c>
      <c r="B7" s="68"/>
      <c r="C7" s="147"/>
      <c r="D7" s="67"/>
      <c r="E7" s="77"/>
      <c r="F7" s="122"/>
      <c r="G7" s="67"/>
      <c r="H7" s="77"/>
      <c r="I7" s="122"/>
      <c r="J7" s="67"/>
      <c r="K7" s="77"/>
      <c r="L7" s="77"/>
      <c r="M7" s="122"/>
    </row>
    <row r="8" spans="1:13" s="39" customFormat="1" hidden="1">
      <c r="A8" s="192" t="s">
        <v>11</v>
      </c>
      <c r="B8" s="138">
        <v>0.03</v>
      </c>
      <c r="C8" s="146"/>
      <c r="D8" s="149"/>
      <c r="E8" s="117"/>
      <c r="F8" s="121"/>
      <c r="G8" s="149"/>
      <c r="H8" s="117"/>
      <c r="I8" s="121"/>
      <c r="J8" s="149"/>
      <c r="K8" s="117"/>
      <c r="L8" s="117"/>
      <c r="M8" s="121"/>
    </row>
    <row r="9" spans="1:13" s="39" customFormat="1" hidden="1">
      <c r="A9" s="192" t="s">
        <v>112</v>
      </c>
      <c r="B9" s="138"/>
      <c r="C9" s="146"/>
      <c r="D9" s="204">
        <f>ROUND('Development Schedule'!D12/$B$12,0)</f>
        <v>0</v>
      </c>
      <c r="E9" s="204">
        <f>D9</f>
        <v>0</v>
      </c>
      <c r="F9" s="206">
        <f>ROUND('Development Schedule'!F12/$B$12,0)</f>
        <v>0</v>
      </c>
      <c r="G9" s="227">
        <f>ROUND('Development Schedule'!H12/$B$12,0)</f>
        <v>0</v>
      </c>
      <c r="H9" s="204">
        <f>ROUND('Development Schedule'!I12/$B$12,0)</f>
        <v>0</v>
      </c>
      <c r="I9" s="206">
        <f>ROUND('Development Schedule'!J12/$B$12,0)</f>
        <v>0</v>
      </c>
      <c r="J9" s="227">
        <f>ROUND('Development Schedule'!K12/$B$12,0)</f>
        <v>0</v>
      </c>
      <c r="K9" s="204">
        <f>ROUND('Development Schedule'!L12/$B$12,0)</f>
        <v>0</v>
      </c>
      <c r="L9" s="204">
        <f>ROUND('Development Schedule'!M12/$B$12,0)</f>
        <v>0</v>
      </c>
      <c r="M9" s="206">
        <f>ROUND('Development Schedule'!N12/$B$12,0)</f>
        <v>0</v>
      </c>
    </row>
    <row r="10" spans="1:13" s="39" customFormat="1" ht="14.1" hidden="1" customHeight="1">
      <c r="A10" s="192" t="s">
        <v>38</v>
      </c>
      <c r="B10" s="68"/>
      <c r="C10" s="147"/>
      <c r="D10" s="228">
        <f>ROUND($C$78*D15,0)</f>
        <v>0</v>
      </c>
      <c r="E10" s="68">
        <f>E11-SUM($D$10:D10)</f>
        <v>0</v>
      </c>
      <c r="F10" s="200">
        <f>F11-SUM($D$10:E10)</f>
        <v>0</v>
      </c>
      <c r="G10" s="228">
        <f>G11-SUM($D$10:F10)</f>
        <v>0</v>
      </c>
      <c r="H10" s="68">
        <f>H11-SUM($D$10:G10)</f>
        <v>0</v>
      </c>
      <c r="I10" s="200">
        <f>I11-SUM($D$10:H10)</f>
        <v>0</v>
      </c>
      <c r="J10" s="228">
        <f>J11-SUM($D$10:I10)</f>
        <v>0</v>
      </c>
      <c r="K10" s="68">
        <f>K11-SUM($D$10:J10)</f>
        <v>0</v>
      </c>
      <c r="L10" s="68">
        <f>L11-SUM($D$10:K10)</f>
        <v>0</v>
      </c>
      <c r="M10" s="200">
        <f>M11-SUM($D$10:L10)</f>
        <v>0</v>
      </c>
    </row>
    <row r="11" spans="1:13" s="39" customFormat="1" ht="14.1" hidden="1" customHeight="1">
      <c r="A11" s="192" t="s">
        <v>113</v>
      </c>
      <c r="B11" s="62"/>
      <c r="C11" s="147"/>
      <c r="D11" s="228">
        <f t="shared" ref="D11:M11" si="1">ROUND($C$78*D15,0)</f>
        <v>0</v>
      </c>
      <c r="E11" s="68">
        <f t="shared" si="1"/>
        <v>0</v>
      </c>
      <c r="F11" s="200">
        <f t="shared" si="1"/>
        <v>0</v>
      </c>
      <c r="G11" s="228">
        <f t="shared" si="1"/>
        <v>0</v>
      </c>
      <c r="H11" s="68">
        <f t="shared" si="1"/>
        <v>0</v>
      </c>
      <c r="I11" s="200">
        <f t="shared" si="1"/>
        <v>0</v>
      </c>
      <c r="J11" s="228">
        <f t="shared" si="1"/>
        <v>0</v>
      </c>
      <c r="K11" s="68">
        <f t="shared" si="1"/>
        <v>0</v>
      </c>
      <c r="L11" s="68">
        <f t="shared" si="1"/>
        <v>0</v>
      </c>
      <c r="M11" s="200">
        <f t="shared" si="1"/>
        <v>0</v>
      </c>
    </row>
    <row r="12" spans="1:13" s="39" customFormat="1" ht="14.1" hidden="1" customHeight="1">
      <c r="A12" s="192" t="s">
        <v>39</v>
      </c>
      <c r="B12" s="62">
        <v>1000</v>
      </c>
      <c r="C12" s="147"/>
      <c r="D12" s="229"/>
      <c r="E12" s="118"/>
      <c r="F12" s="207"/>
      <c r="G12" s="229"/>
      <c r="H12" s="118"/>
      <c r="I12" s="207"/>
      <c r="J12" s="229"/>
      <c r="K12" s="118"/>
      <c r="L12" s="118"/>
      <c r="M12" s="207"/>
    </row>
    <row r="13" spans="1:13" s="39" customFormat="1" ht="14.1" hidden="1" customHeight="1">
      <c r="A13" s="192" t="s">
        <v>40</v>
      </c>
      <c r="B13" s="68"/>
      <c r="C13" s="147"/>
      <c r="D13" s="230">
        <f>SUM($D$9:D9)*$B$12</f>
        <v>0</v>
      </c>
      <c r="E13" s="203">
        <f>SUM($D$9:E9)*$B$12</f>
        <v>0</v>
      </c>
      <c r="F13" s="208">
        <f>SUM($D$9:F9)*$B$12</f>
        <v>0</v>
      </c>
      <c r="G13" s="230">
        <f>SUM($D$9:G9)*$B$12</f>
        <v>0</v>
      </c>
      <c r="H13" s="203">
        <f>SUM($D$9:H9)*$B$12</f>
        <v>0</v>
      </c>
      <c r="I13" s="208">
        <f>SUM($D$9:I9)*$B$12</f>
        <v>0</v>
      </c>
      <c r="J13" s="230">
        <f>SUM($D$9:J9)*$B$12</f>
        <v>0</v>
      </c>
      <c r="K13" s="203">
        <f>SUM($D$9:K9)*$B$12</f>
        <v>0</v>
      </c>
      <c r="L13" s="203">
        <f>SUM($D$9:L9)*$B$12</f>
        <v>0</v>
      </c>
      <c r="M13" s="208">
        <f>SUM($D$9:M9)*$B$12</f>
        <v>0</v>
      </c>
    </row>
    <row r="14" spans="1:13" s="39" customFormat="1" ht="14.1" hidden="1" customHeight="1">
      <c r="A14" s="192" t="s">
        <v>115</v>
      </c>
      <c r="B14" s="68"/>
      <c r="C14" s="239">
        <f>'Summary Board'!K99</f>
        <v>3.1208999999999998</v>
      </c>
      <c r="D14" s="231">
        <f>$C$14*(1+$B$8)^D4</f>
        <v>3.2145269999999999</v>
      </c>
      <c r="E14" s="218">
        <f t="shared" ref="E14:M14" si="2">$C$14*(1+$B$8)^E4</f>
        <v>3.3109628099999995</v>
      </c>
      <c r="F14" s="219">
        <f t="shared" si="2"/>
        <v>3.4102916942999997</v>
      </c>
      <c r="G14" s="231">
        <f t="shared" si="2"/>
        <v>3.5126004451289994</v>
      </c>
      <c r="H14" s="218">
        <f t="shared" si="2"/>
        <v>3.6179784584828694</v>
      </c>
      <c r="I14" s="219">
        <f t="shared" si="2"/>
        <v>3.7265178122373555</v>
      </c>
      <c r="J14" s="231">
        <f t="shared" si="2"/>
        <v>3.8383133466044765</v>
      </c>
      <c r="K14" s="218">
        <f t="shared" si="2"/>
        <v>3.9534627470026105</v>
      </c>
      <c r="L14" s="218">
        <f t="shared" si="2"/>
        <v>4.0720666294126886</v>
      </c>
      <c r="M14" s="219">
        <f t="shared" si="2"/>
        <v>4.1942286282950692</v>
      </c>
    </row>
    <row r="15" spans="1:13" s="39" customFormat="1" ht="14.1" hidden="1" customHeight="1" thickBot="1">
      <c r="A15" s="150" t="s">
        <v>41</v>
      </c>
      <c r="B15" s="209"/>
      <c r="C15" s="225"/>
      <c r="D15" s="232">
        <v>0</v>
      </c>
      <c r="E15" s="210">
        <v>0.3</v>
      </c>
      <c r="F15" s="233">
        <v>0.75</v>
      </c>
      <c r="G15" s="236">
        <v>0.95</v>
      </c>
      <c r="H15" s="209">
        <f t="shared" ref="H15:M15" si="3">G15</f>
        <v>0.95</v>
      </c>
      <c r="I15" s="213">
        <f t="shared" si="3"/>
        <v>0.95</v>
      </c>
      <c r="J15" s="240">
        <f t="shared" si="3"/>
        <v>0.95</v>
      </c>
      <c r="K15" s="209">
        <f t="shared" si="3"/>
        <v>0.95</v>
      </c>
      <c r="L15" s="209">
        <f t="shared" si="3"/>
        <v>0.95</v>
      </c>
      <c r="M15" s="213">
        <f t="shared" si="3"/>
        <v>0.95</v>
      </c>
    </row>
    <row r="16" spans="1:13" s="77" customFormat="1" ht="4.5" customHeight="1">
      <c r="A16" s="192"/>
      <c r="B16" s="119"/>
      <c r="C16" s="148"/>
      <c r="D16" s="234"/>
      <c r="E16" s="205"/>
      <c r="F16" s="235"/>
      <c r="G16" s="237"/>
      <c r="H16" s="138"/>
      <c r="I16" s="238"/>
      <c r="J16" s="287"/>
      <c r="K16" s="119"/>
      <c r="L16" s="119"/>
      <c r="M16" s="238"/>
    </row>
    <row r="17" spans="1:13" s="77" customFormat="1" ht="14.1" customHeight="1">
      <c r="A17" s="66" t="s">
        <v>89</v>
      </c>
      <c r="B17" s="68"/>
      <c r="C17" s="147"/>
      <c r="D17" s="67"/>
      <c r="F17" s="122"/>
      <c r="G17" s="67"/>
      <c r="I17" s="122"/>
      <c r="J17" s="67"/>
      <c r="M17" s="122"/>
    </row>
    <row r="18" spans="1:13" s="77" customFormat="1" ht="14.1" customHeight="1">
      <c r="A18" s="192" t="s">
        <v>11</v>
      </c>
      <c r="B18" s="138">
        <v>0.03</v>
      </c>
      <c r="C18" s="146"/>
      <c r="D18" s="149"/>
      <c r="E18" s="117"/>
      <c r="F18" s="121"/>
      <c r="G18" s="149"/>
      <c r="H18" s="117"/>
      <c r="I18" s="121"/>
      <c r="J18" s="149"/>
      <c r="K18" s="117"/>
      <c r="L18" s="117"/>
      <c r="M18" s="121"/>
    </row>
    <row r="19" spans="1:13" s="77" customFormat="1" ht="14.1" customHeight="1">
      <c r="A19" s="192" t="s">
        <v>112</v>
      </c>
      <c r="B19" s="138"/>
      <c r="C19" s="146"/>
      <c r="D19" s="227">
        <f>ROUND('Development Schedule'!E29/$B$22,0)</f>
        <v>0</v>
      </c>
      <c r="E19" s="204">
        <f>ROUND('Development Schedule'!F29/$B$22,0)</f>
        <v>94</v>
      </c>
      <c r="F19" s="206">
        <f>ROUND('Development Schedule'!G29/$B$22,0)</f>
        <v>47</v>
      </c>
      <c r="G19" s="227">
        <f>ROUND('Development Schedule'!H29/$B$22,0)</f>
        <v>0</v>
      </c>
      <c r="H19" s="204">
        <f>ROUND('Development Schedule'!I29/$B$22,0)</f>
        <v>0</v>
      </c>
      <c r="I19" s="206">
        <f>ROUND('Development Schedule'!J29/$B$22,0)</f>
        <v>0</v>
      </c>
      <c r="J19" s="227">
        <f>ROUND('Development Schedule'!K29/$B$22,0)</f>
        <v>0</v>
      </c>
      <c r="K19" s="204">
        <f>ROUND('Development Schedule'!L29/$B$22,0)</f>
        <v>0</v>
      </c>
      <c r="L19" s="204">
        <f>ROUND('Development Schedule'!M29/$B$22,0)</f>
        <v>0</v>
      </c>
      <c r="M19" s="206">
        <f>ROUND('Development Schedule'!N29/$B$22,0)</f>
        <v>0</v>
      </c>
    </row>
    <row r="20" spans="1:13" s="77" customFormat="1" ht="14.1" customHeight="1">
      <c r="A20" s="192" t="s">
        <v>38</v>
      </c>
      <c r="B20" s="68"/>
      <c r="C20" s="147"/>
      <c r="D20" s="228">
        <f>ROUND($C$79*D25,0)</f>
        <v>0</v>
      </c>
      <c r="E20" s="68">
        <f>E21-SUM($D$20:D20)</f>
        <v>0</v>
      </c>
      <c r="F20" s="200">
        <f>F21-SUM($D$20:E20)</f>
        <v>42</v>
      </c>
      <c r="G20" s="228">
        <f>G21-SUM($D$20:F20)</f>
        <v>63</v>
      </c>
      <c r="H20" s="68">
        <f>H21-SUM($D$20:G20)</f>
        <v>28</v>
      </c>
      <c r="I20" s="200">
        <f>I21-SUM($D$20:H20)</f>
        <v>0</v>
      </c>
      <c r="J20" s="228">
        <f>J21-SUM($D$20:I20)</f>
        <v>0</v>
      </c>
      <c r="K20" s="68">
        <f>K21-SUM($D$20:J20)</f>
        <v>0</v>
      </c>
      <c r="L20" s="68">
        <f>L21-SUM($D$20:K20)</f>
        <v>0</v>
      </c>
      <c r="M20" s="200">
        <f>M21-SUM($D$20:L20)</f>
        <v>0</v>
      </c>
    </row>
    <row r="21" spans="1:13" s="77" customFormat="1" ht="14.1" customHeight="1">
      <c r="A21" s="192" t="s">
        <v>113</v>
      </c>
      <c r="B21" s="62"/>
      <c r="C21" s="147"/>
      <c r="D21" s="228">
        <f t="shared" ref="D21:M21" si="4">ROUND($C$79*D25,0)</f>
        <v>0</v>
      </c>
      <c r="E21" s="68">
        <f t="shared" si="4"/>
        <v>0</v>
      </c>
      <c r="F21" s="200">
        <f t="shared" si="4"/>
        <v>42</v>
      </c>
      <c r="G21" s="228">
        <f t="shared" si="4"/>
        <v>105</v>
      </c>
      <c r="H21" s="68">
        <f t="shared" si="4"/>
        <v>133</v>
      </c>
      <c r="I21" s="200">
        <f t="shared" si="4"/>
        <v>133</v>
      </c>
      <c r="J21" s="228">
        <f t="shared" si="4"/>
        <v>133</v>
      </c>
      <c r="K21" s="68">
        <f t="shared" si="4"/>
        <v>133</v>
      </c>
      <c r="L21" s="68">
        <f t="shared" si="4"/>
        <v>133</v>
      </c>
      <c r="M21" s="200">
        <f t="shared" si="4"/>
        <v>133</v>
      </c>
    </row>
    <row r="22" spans="1:13" s="77" customFormat="1" ht="14.1" customHeight="1">
      <c r="A22" s="192" t="s">
        <v>39</v>
      </c>
      <c r="B22" s="837">
        <v>1000</v>
      </c>
      <c r="C22" s="200"/>
      <c r="D22" s="229"/>
      <c r="E22" s="118"/>
      <c r="F22" s="207"/>
      <c r="G22" s="229"/>
      <c r="H22" s="118"/>
      <c r="I22" s="207"/>
      <c r="J22" s="229"/>
      <c r="K22" s="118"/>
      <c r="L22" s="118"/>
      <c r="M22" s="207"/>
    </row>
    <row r="23" spans="1:13" s="77" customFormat="1" ht="14.1" customHeight="1">
      <c r="A23" s="192" t="s">
        <v>40</v>
      </c>
      <c r="B23" s="68"/>
      <c r="C23" s="147"/>
      <c r="D23" s="230">
        <f>SUM($D$19:D19)*$B$22</f>
        <v>0</v>
      </c>
      <c r="E23" s="203">
        <f>SUM($D$19:E19)*$B$22</f>
        <v>94000</v>
      </c>
      <c r="F23" s="208">
        <f>SUM($D$19:F19)*$B$22</f>
        <v>141000</v>
      </c>
      <c r="G23" s="230">
        <f>SUM($D$19:G19)*$B$22</f>
        <v>141000</v>
      </c>
      <c r="H23" s="203">
        <f>SUM($D$19:H19)*$B$22</f>
        <v>141000</v>
      </c>
      <c r="I23" s="208">
        <f>SUM($D$19:I19)*$B$22</f>
        <v>141000</v>
      </c>
      <c r="J23" s="230">
        <f>SUM($D$19:J19)*$B$22</f>
        <v>141000</v>
      </c>
      <c r="K23" s="203">
        <f>SUM($D$19:K19)*$B$22</f>
        <v>141000</v>
      </c>
      <c r="L23" s="203">
        <f>SUM($D$19:L19)*$B$22</f>
        <v>141000</v>
      </c>
      <c r="M23" s="208">
        <f>SUM($D$19:M19)*$B$22</f>
        <v>141000</v>
      </c>
    </row>
    <row r="24" spans="1:13" s="77" customFormat="1" ht="14.1" customHeight="1">
      <c r="A24" s="192" t="s">
        <v>115</v>
      </c>
      <c r="B24" s="68"/>
      <c r="C24" s="224">
        <f t="shared" ref="C24:M24" si="5">C14</f>
        <v>3.1208999999999998</v>
      </c>
      <c r="D24" s="231">
        <f t="shared" si="5"/>
        <v>3.2145269999999999</v>
      </c>
      <c r="E24" s="218">
        <f t="shared" si="5"/>
        <v>3.3109628099999995</v>
      </c>
      <c r="F24" s="219">
        <f t="shared" si="5"/>
        <v>3.4102916942999997</v>
      </c>
      <c r="G24" s="231">
        <f t="shared" si="5"/>
        <v>3.5126004451289994</v>
      </c>
      <c r="H24" s="218">
        <f t="shared" si="5"/>
        <v>3.6179784584828694</v>
      </c>
      <c r="I24" s="219">
        <f t="shared" si="5"/>
        <v>3.7265178122373555</v>
      </c>
      <c r="J24" s="231">
        <f t="shared" si="5"/>
        <v>3.8383133466044765</v>
      </c>
      <c r="K24" s="218">
        <f t="shared" si="5"/>
        <v>3.9534627470026105</v>
      </c>
      <c r="L24" s="218">
        <f t="shared" si="5"/>
        <v>4.0720666294126886</v>
      </c>
      <c r="M24" s="219">
        <f t="shared" si="5"/>
        <v>4.1942286282950692</v>
      </c>
    </row>
    <row r="25" spans="1:13" s="77" customFormat="1" ht="14.1" customHeight="1" thickBot="1">
      <c r="A25" s="150" t="s">
        <v>41</v>
      </c>
      <c r="B25" s="209"/>
      <c r="C25" s="225"/>
      <c r="D25" s="232">
        <v>0</v>
      </c>
      <c r="E25" s="211">
        <f>D25</f>
        <v>0</v>
      </c>
      <c r="F25" s="233">
        <v>0.3</v>
      </c>
      <c r="G25" s="236">
        <v>0.75</v>
      </c>
      <c r="H25" s="212">
        <v>0.94899999999999995</v>
      </c>
      <c r="I25" s="213">
        <f>H25</f>
        <v>0.94899999999999995</v>
      </c>
      <c r="J25" s="240">
        <f>I25</f>
        <v>0.94899999999999995</v>
      </c>
      <c r="K25" s="209">
        <f>J25</f>
        <v>0.94899999999999995</v>
      </c>
      <c r="L25" s="209">
        <f>K25</f>
        <v>0.94899999999999995</v>
      </c>
      <c r="M25" s="213">
        <f>L25</f>
        <v>0.94899999999999995</v>
      </c>
    </row>
    <row r="26" spans="1:13" s="77" customFormat="1" ht="4.5" customHeight="1">
      <c r="A26" s="192"/>
      <c r="B26" s="119"/>
      <c r="C26" s="148"/>
      <c r="D26" s="234"/>
      <c r="E26" s="205"/>
      <c r="F26" s="235"/>
      <c r="G26" s="237"/>
      <c r="H26" s="138"/>
      <c r="I26" s="238"/>
      <c r="J26" s="287"/>
      <c r="K26" s="119"/>
      <c r="L26" s="119"/>
      <c r="M26" s="238"/>
    </row>
    <row r="27" spans="1:13" s="77" customFormat="1" ht="14.1" customHeight="1">
      <c r="A27" s="66" t="s">
        <v>114</v>
      </c>
      <c r="B27" s="68"/>
      <c r="C27" s="147"/>
      <c r="D27" s="67"/>
      <c r="F27" s="122"/>
      <c r="G27" s="67"/>
      <c r="I27" s="122"/>
      <c r="J27" s="67"/>
      <c r="M27" s="122"/>
    </row>
    <row r="28" spans="1:13" s="77" customFormat="1" ht="14.1" customHeight="1">
      <c r="A28" s="192" t="s">
        <v>11</v>
      </c>
      <c r="B28" s="138">
        <v>0.03</v>
      </c>
      <c r="C28" s="146"/>
      <c r="D28" s="149"/>
      <c r="E28" s="117"/>
      <c r="F28" s="121"/>
      <c r="G28" s="149"/>
      <c r="H28" s="117"/>
      <c r="I28" s="121"/>
      <c r="J28" s="149"/>
      <c r="K28" s="117"/>
      <c r="L28" s="117"/>
      <c r="M28" s="121"/>
    </row>
    <row r="29" spans="1:13" s="77" customFormat="1" ht="14.1" customHeight="1">
      <c r="A29" s="192" t="s">
        <v>112</v>
      </c>
      <c r="B29" s="138"/>
      <c r="C29" s="146"/>
      <c r="D29" s="227">
        <f>ROUND('Development Schedule'!E35/$B$32,0)</f>
        <v>0</v>
      </c>
      <c r="E29" s="204">
        <f>ROUND('Development Schedule'!F35/$B$32,0)</f>
        <v>0</v>
      </c>
      <c r="F29" s="206">
        <f>ROUND('Development Schedule'!G35/$B$32,0)</f>
        <v>0</v>
      </c>
      <c r="G29" s="227">
        <f>ROUND('Development Schedule'!H35/$B$32,0)</f>
        <v>339</v>
      </c>
      <c r="H29" s="204">
        <f>ROUND('Development Schedule'!I35/$B$32,0)</f>
        <v>0</v>
      </c>
      <c r="I29" s="206">
        <f>ROUND('Development Schedule'!J35/$B$32,0)</f>
        <v>0</v>
      </c>
      <c r="J29" s="227">
        <f>ROUND('Development Schedule'!K35/$B$32,0)</f>
        <v>0</v>
      </c>
      <c r="K29" s="204">
        <f>ROUND('Development Schedule'!L35/$B$32,0)</f>
        <v>0</v>
      </c>
      <c r="L29" s="204">
        <f>ROUND('Development Schedule'!M35/$B$32,0)</f>
        <v>0</v>
      </c>
      <c r="M29" s="206">
        <f>ROUND('Development Schedule'!N35/$B$32,0)</f>
        <v>0</v>
      </c>
    </row>
    <row r="30" spans="1:13" s="77" customFormat="1" ht="14.1" customHeight="1">
      <c r="A30" s="192" t="s">
        <v>38</v>
      </c>
      <c r="B30" s="68"/>
      <c r="C30" s="147"/>
      <c r="D30" s="228">
        <f>ROUND($C$80*D35,0)</f>
        <v>0</v>
      </c>
      <c r="E30" s="68">
        <f>E31-SUM($D$30:D30)</f>
        <v>0</v>
      </c>
      <c r="F30" s="200">
        <f>F31-SUM($D$30:E30)</f>
        <v>0</v>
      </c>
      <c r="G30" s="228">
        <f>G31-SUM($D$30:F30)</f>
        <v>0</v>
      </c>
      <c r="H30" s="68">
        <f>H31-SUM($D$30:G30)</f>
        <v>102</v>
      </c>
      <c r="I30" s="200">
        <f>I31-SUM($D$30:H30)</f>
        <v>152</v>
      </c>
      <c r="J30" s="228">
        <f>J31-SUM($D$30:I30)</f>
        <v>67</v>
      </c>
      <c r="K30" s="68">
        <f>K31-SUM($D$30:J30)</f>
        <v>0</v>
      </c>
      <c r="L30" s="68">
        <f>L31-SUM($D$30:K30)</f>
        <v>0</v>
      </c>
      <c r="M30" s="200">
        <f>M31-SUM($D$30:L30)</f>
        <v>0</v>
      </c>
    </row>
    <row r="31" spans="1:13" s="77" customFormat="1" ht="14.1" customHeight="1">
      <c r="A31" s="192" t="s">
        <v>113</v>
      </c>
      <c r="B31" s="62"/>
      <c r="C31" s="147"/>
      <c r="D31" s="228">
        <f t="shared" ref="D31:M31" si="6">ROUND($C$80*D35,0)</f>
        <v>0</v>
      </c>
      <c r="E31" s="68">
        <f t="shared" si="6"/>
        <v>0</v>
      </c>
      <c r="F31" s="200">
        <f t="shared" si="6"/>
        <v>0</v>
      </c>
      <c r="G31" s="228">
        <f t="shared" si="6"/>
        <v>0</v>
      </c>
      <c r="H31" s="68">
        <f t="shared" si="6"/>
        <v>102</v>
      </c>
      <c r="I31" s="200">
        <f t="shared" si="6"/>
        <v>254</v>
      </c>
      <c r="J31" s="228">
        <f t="shared" si="6"/>
        <v>321</v>
      </c>
      <c r="K31" s="68">
        <f t="shared" si="6"/>
        <v>321</v>
      </c>
      <c r="L31" s="68">
        <f t="shared" si="6"/>
        <v>321</v>
      </c>
      <c r="M31" s="200">
        <f t="shared" si="6"/>
        <v>321</v>
      </c>
    </row>
    <row r="32" spans="1:13" s="77" customFormat="1" ht="14.1" customHeight="1">
      <c r="A32" s="192" t="s">
        <v>39</v>
      </c>
      <c r="B32" s="62">
        <v>1000</v>
      </c>
      <c r="C32" s="147"/>
      <c r="D32" s="229"/>
      <c r="E32" s="118"/>
      <c r="F32" s="207"/>
      <c r="G32" s="229"/>
      <c r="H32" s="118"/>
      <c r="I32" s="207"/>
      <c r="J32" s="229"/>
      <c r="K32" s="118"/>
      <c r="L32" s="118"/>
      <c r="M32" s="207"/>
    </row>
    <row r="33" spans="1:13" s="77" customFormat="1" ht="14.1" customHeight="1">
      <c r="A33" s="192" t="s">
        <v>40</v>
      </c>
      <c r="B33" s="68"/>
      <c r="C33" s="147"/>
      <c r="D33" s="230">
        <f>SUM($D$29:D29)*$B$32</f>
        <v>0</v>
      </c>
      <c r="E33" s="203">
        <f>SUM($D$29:E29)*$B$32</f>
        <v>0</v>
      </c>
      <c r="F33" s="208">
        <f>SUM($D$29:F29)*$B$32</f>
        <v>0</v>
      </c>
      <c r="G33" s="230">
        <f>SUM($D$29:G29)*$B$32</f>
        <v>339000</v>
      </c>
      <c r="H33" s="203">
        <f>SUM($D$29:H29)*$B$32</f>
        <v>339000</v>
      </c>
      <c r="I33" s="208">
        <f>SUM($D$29:I29)*$B$32</f>
        <v>339000</v>
      </c>
      <c r="J33" s="230">
        <f>SUM($D$29:J29)*$B$32</f>
        <v>339000</v>
      </c>
      <c r="K33" s="203">
        <f>SUM($D$29:K29)*$B$32</f>
        <v>339000</v>
      </c>
      <c r="L33" s="203">
        <f>SUM($D$29:L29)*$B$32</f>
        <v>339000</v>
      </c>
      <c r="M33" s="208">
        <f>SUM($D$29:M29)*$B$32</f>
        <v>339000</v>
      </c>
    </row>
    <row r="34" spans="1:13" s="77" customFormat="1" ht="14.1" customHeight="1">
      <c r="A34" s="192" t="s">
        <v>115</v>
      </c>
      <c r="B34" s="68"/>
      <c r="C34" s="224">
        <f t="shared" ref="C34:M34" si="7">C24</f>
        <v>3.1208999999999998</v>
      </c>
      <c r="D34" s="231">
        <f t="shared" si="7"/>
        <v>3.2145269999999999</v>
      </c>
      <c r="E34" s="218">
        <f t="shared" si="7"/>
        <v>3.3109628099999995</v>
      </c>
      <c r="F34" s="219">
        <f t="shared" si="7"/>
        <v>3.4102916942999997</v>
      </c>
      <c r="G34" s="231">
        <f t="shared" si="7"/>
        <v>3.5126004451289994</v>
      </c>
      <c r="H34" s="218">
        <f t="shared" si="7"/>
        <v>3.6179784584828694</v>
      </c>
      <c r="I34" s="219">
        <f t="shared" si="7"/>
        <v>3.7265178122373555</v>
      </c>
      <c r="J34" s="231">
        <f t="shared" si="7"/>
        <v>3.8383133466044765</v>
      </c>
      <c r="K34" s="218">
        <f t="shared" si="7"/>
        <v>3.9534627470026105</v>
      </c>
      <c r="L34" s="218">
        <f t="shared" si="7"/>
        <v>4.0720666294126886</v>
      </c>
      <c r="M34" s="219">
        <f t="shared" si="7"/>
        <v>4.1942286282950692</v>
      </c>
    </row>
    <row r="35" spans="1:13" s="77" customFormat="1" ht="14.1" customHeight="1" thickBot="1">
      <c r="A35" s="150" t="s">
        <v>41</v>
      </c>
      <c r="B35" s="209"/>
      <c r="C35" s="225"/>
      <c r="D35" s="232">
        <v>0</v>
      </c>
      <c r="E35" s="211">
        <f>D35</f>
        <v>0</v>
      </c>
      <c r="F35" s="213">
        <f>E35</f>
        <v>0</v>
      </c>
      <c r="G35" s="240">
        <f>F35</f>
        <v>0</v>
      </c>
      <c r="H35" s="212">
        <v>0.3</v>
      </c>
      <c r="I35" s="233">
        <v>0.75</v>
      </c>
      <c r="J35" s="236">
        <v>0.94899999999999995</v>
      </c>
      <c r="K35" s="209">
        <f>J35</f>
        <v>0.94899999999999995</v>
      </c>
      <c r="L35" s="209">
        <f>K35</f>
        <v>0.94899999999999995</v>
      </c>
      <c r="M35" s="213">
        <f>L35</f>
        <v>0.94899999999999995</v>
      </c>
    </row>
    <row r="36" spans="1:13" s="77" customFormat="1" ht="4.5" customHeight="1">
      <c r="A36" s="192"/>
      <c r="B36" s="119"/>
      <c r="C36" s="148"/>
      <c r="D36" s="234"/>
      <c r="E36" s="205"/>
      <c r="F36" s="235"/>
      <c r="G36" s="237"/>
      <c r="H36" s="138"/>
      <c r="I36" s="238"/>
      <c r="J36" s="287"/>
      <c r="K36" s="119"/>
      <c r="L36" s="119"/>
      <c r="M36" s="238"/>
    </row>
    <row r="37" spans="1:13" s="77" customFormat="1" ht="14.1" customHeight="1">
      <c r="A37" s="66" t="s">
        <v>364</v>
      </c>
      <c r="B37" s="68"/>
      <c r="C37" s="147"/>
      <c r="D37" s="67"/>
      <c r="F37" s="122"/>
      <c r="G37" s="67"/>
      <c r="I37" s="122"/>
      <c r="J37" s="67"/>
      <c r="M37" s="122"/>
    </row>
    <row r="38" spans="1:13" s="77" customFormat="1" ht="14.1" customHeight="1">
      <c r="A38" s="192" t="s">
        <v>11</v>
      </c>
      <c r="B38" s="138">
        <v>0.03</v>
      </c>
      <c r="C38" s="146"/>
      <c r="D38" s="149"/>
      <c r="E38" s="117"/>
      <c r="F38" s="121"/>
      <c r="G38" s="149"/>
      <c r="H38" s="117"/>
      <c r="I38" s="121"/>
      <c r="J38" s="149"/>
      <c r="K38" s="117"/>
      <c r="L38" s="117"/>
      <c r="M38" s="121"/>
    </row>
    <row r="39" spans="1:13" s="77" customFormat="1" ht="14.1" customHeight="1">
      <c r="A39" s="192" t="s">
        <v>112</v>
      </c>
      <c r="B39" s="138"/>
      <c r="C39" s="146"/>
      <c r="D39" s="227">
        <f>ROUND('Development Schedule'!E46/$B$42,0)</f>
        <v>0</v>
      </c>
      <c r="E39" s="204">
        <f>ROUND('Development Schedule'!F46/$B$42,0)</f>
        <v>0</v>
      </c>
      <c r="F39" s="206">
        <f>ROUND('Development Schedule'!G46/$B$42,0)</f>
        <v>0</v>
      </c>
      <c r="G39" s="227">
        <f>ROUND('Development Schedule'!H46/$B$42,0)</f>
        <v>0</v>
      </c>
      <c r="H39" s="204">
        <f>ROUND('Development Schedule'!I46/$B$42,0)</f>
        <v>81</v>
      </c>
      <c r="I39" s="206">
        <f>ROUND('Development Schedule'!J46/$B$42,0)</f>
        <v>40</v>
      </c>
      <c r="J39" s="227">
        <f>ROUND('Development Schedule'!K46/$B$42,0)</f>
        <v>0</v>
      </c>
      <c r="K39" s="204">
        <f>ROUND('Development Schedule'!L46/$B$42,0)</f>
        <v>0</v>
      </c>
      <c r="L39" s="204">
        <f>ROUND('Development Schedule'!M46/$B$42,0)</f>
        <v>0</v>
      </c>
      <c r="M39" s="206">
        <f>ROUND('Development Schedule'!N46/$B$42,0)</f>
        <v>0</v>
      </c>
    </row>
    <row r="40" spans="1:13" s="77" customFormat="1" ht="14.1" customHeight="1">
      <c r="A40" s="192" t="s">
        <v>38</v>
      </c>
      <c r="B40" s="68"/>
      <c r="C40" s="147"/>
      <c r="D40" s="228">
        <f>ROUND($C$81*D45,0)</f>
        <v>0</v>
      </c>
      <c r="E40" s="68">
        <f>E41-SUM($D$40:D40)</f>
        <v>0</v>
      </c>
      <c r="F40" s="200">
        <f>F41-SUM($D$40:E40)</f>
        <v>0</v>
      </c>
      <c r="G40" s="228">
        <f>G41-SUM($D$40:F40)</f>
        <v>0</v>
      </c>
      <c r="H40" s="68">
        <f>H41-SUM($D$40:G40)</f>
        <v>0</v>
      </c>
      <c r="I40" s="200">
        <f>I41-SUM($D$40:H40)</f>
        <v>36</v>
      </c>
      <c r="J40" s="228">
        <f>J41-SUM($D$40:I40)</f>
        <v>55</v>
      </c>
      <c r="K40" s="68">
        <f>K41-SUM($D$40:J40)</f>
        <v>24</v>
      </c>
      <c r="L40" s="68">
        <f>L41-SUM($D$40:K40)</f>
        <v>0</v>
      </c>
      <c r="M40" s="200">
        <f>M41-SUM($D$40:L40)</f>
        <v>0</v>
      </c>
    </row>
    <row r="41" spans="1:13" s="77" customFormat="1" ht="14.1" customHeight="1">
      <c r="A41" s="192" t="s">
        <v>113</v>
      </c>
      <c r="B41" s="62"/>
      <c r="C41" s="147"/>
      <c r="D41" s="228">
        <f t="shared" ref="D41:M41" si="8">ROUND($C$81*D45,0)</f>
        <v>0</v>
      </c>
      <c r="E41" s="68">
        <f t="shared" si="8"/>
        <v>0</v>
      </c>
      <c r="F41" s="200">
        <f t="shared" si="8"/>
        <v>0</v>
      </c>
      <c r="G41" s="228">
        <f t="shared" si="8"/>
        <v>0</v>
      </c>
      <c r="H41" s="68">
        <f t="shared" si="8"/>
        <v>0</v>
      </c>
      <c r="I41" s="200">
        <f t="shared" si="8"/>
        <v>36</v>
      </c>
      <c r="J41" s="228">
        <f t="shared" si="8"/>
        <v>91</v>
      </c>
      <c r="K41" s="68">
        <f t="shared" si="8"/>
        <v>115</v>
      </c>
      <c r="L41" s="68">
        <f t="shared" si="8"/>
        <v>115</v>
      </c>
      <c r="M41" s="200">
        <f t="shared" si="8"/>
        <v>115</v>
      </c>
    </row>
    <row r="42" spans="1:13" s="77" customFormat="1" ht="14.1" customHeight="1">
      <c r="A42" s="192" t="s">
        <v>39</v>
      </c>
      <c r="B42" s="62">
        <v>1000</v>
      </c>
      <c r="C42" s="147"/>
      <c r="D42" s="229"/>
      <c r="E42" s="118"/>
      <c r="F42" s="207"/>
      <c r="G42" s="229"/>
      <c r="H42" s="118"/>
      <c r="I42" s="207"/>
      <c r="J42" s="229"/>
      <c r="K42" s="118"/>
      <c r="L42" s="118"/>
      <c r="M42" s="207"/>
    </row>
    <row r="43" spans="1:13" s="77" customFormat="1" ht="14.1" customHeight="1">
      <c r="A43" s="192" t="s">
        <v>40</v>
      </c>
      <c r="B43" s="68"/>
      <c r="C43" s="147"/>
      <c r="D43" s="230">
        <f>SUM($D$39:D39)*$B$42</f>
        <v>0</v>
      </c>
      <c r="E43" s="203">
        <f>SUM($D$39:E39)*$B$42</f>
        <v>0</v>
      </c>
      <c r="F43" s="208">
        <f>SUM($D$39:F39)*$B$42</f>
        <v>0</v>
      </c>
      <c r="G43" s="230">
        <f>SUM($D$39:G39)*$B$42</f>
        <v>0</v>
      </c>
      <c r="H43" s="203">
        <f>SUM($D$39:H39)*$B$42</f>
        <v>81000</v>
      </c>
      <c r="I43" s="208">
        <f>SUM($D$39:I39)*$B$42</f>
        <v>121000</v>
      </c>
      <c r="J43" s="230">
        <f>SUM($D$39:J39)*$B$42</f>
        <v>121000</v>
      </c>
      <c r="K43" s="203">
        <f>SUM($D$39:K39)*$B$42</f>
        <v>121000</v>
      </c>
      <c r="L43" s="203">
        <f>SUM($D$39:L39)*$B$42</f>
        <v>121000</v>
      </c>
      <c r="M43" s="208">
        <f>SUM($D$39:M39)*$B$42</f>
        <v>121000</v>
      </c>
    </row>
    <row r="44" spans="1:13" s="77" customFormat="1" ht="14.1" customHeight="1">
      <c r="A44" s="192" t="s">
        <v>115</v>
      </c>
      <c r="B44" s="68"/>
      <c r="C44" s="224">
        <f t="shared" ref="C44:M44" si="9">C34</f>
        <v>3.1208999999999998</v>
      </c>
      <c r="D44" s="231">
        <f t="shared" si="9"/>
        <v>3.2145269999999999</v>
      </c>
      <c r="E44" s="218">
        <f t="shared" si="9"/>
        <v>3.3109628099999995</v>
      </c>
      <c r="F44" s="219">
        <f t="shared" si="9"/>
        <v>3.4102916942999997</v>
      </c>
      <c r="G44" s="231">
        <f t="shared" si="9"/>
        <v>3.5126004451289994</v>
      </c>
      <c r="H44" s="218">
        <f t="shared" si="9"/>
        <v>3.6179784584828694</v>
      </c>
      <c r="I44" s="219">
        <f t="shared" si="9"/>
        <v>3.7265178122373555</v>
      </c>
      <c r="J44" s="231">
        <f t="shared" si="9"/>
        <v>3.8383133466044765</v>
      </c>
      <c r="K44" s="218">
        <f t="shared" si="9"/>
        <v>3.9534627470026105</v>
      </c>
      <c r="L44" s="218">
        <f t="shared" si="9"/>
        <v>4.0720666294126886</v>
      </c>
      <c r="M44" s="219">
        <f t="shared" si="9"/>
        <v>4.1942286282950692</v>
      </c>
    </row>
    <row r="45" spans="1:13" s="77" customFormat="1" ht="14.1" customHeight="1" thickBot="1">
      <c r="A45" s="150" t="s">
        <v>41</v>
      </c>
      <c r="B45" s="209"/>
      <c r="C45" s="225"/>
      <c r="D45" s="232">
        <v>0</v>
      </c>
      <c r="E45" s="211">
        <f>D45</f>
        <v>0</v>
      </c>
      <c r="F45" s="213">
        <f>E45</f>
        <v>0</v>
      </c>
      <c r="G45" s="240">
        <f>F45</f>
        <v>0</v>
      </c>
      <c r="H45" s="209">
        <f>G45</f>
        <v>0</v>
      </c>
      <c r="I45" s="233">
        <v>0.3</v>
      </c>
      <c r="J45" s="236">
        <v>0.75</v>
      </c>
      <c r="K45" s="212">
        <v>0.94899999999999995</v>
      </c>
      <c r="L45" s="209">
        <v>0.95</v>
      </c>
      <c r="M45" s="213">
        <f>L45</f>
        <v>0.95</v>
      </c>
    </row>
    <row r="46" spans="1:13" s="77" customFormat="1" ht="3.75" customHeight="1">
      <c r="A46" s="352"/>
      <c r="B46" s="459"/>
      <c r="C46" s="460"/>
      <c r="D46" s="461"/>
      <c r="E46" s="462"/>
      <c r="F46" s="463"/>
      <c r="G46" s="464"/>
      <c r="H46" s="465"/>
      <c r="I46" s="466"/>
      <c r="J46" s="467"/>
      <c r="K46" s="459"/>
      <c r="L46" s="459"/>
      <c r="M46" s="466"/>
    </row>
    <row r="47" spans="1:13" s="77" customFormat="1" ht="14.1" customHeight="1">
      <c r="A47" s="66" t="s">
        <v>81</v>
      </c>
      <c r="B47" s="68"/>
      <c r="C47" s="147"/>
      <c r="D47" s="67"/>
      <c r="F47" s="122"/>
      <c r="G47" s="67"/>
      <c r="I47" s="122"/>
      <c r="J47" s="67"/>
      <c r="M47" s="122"/>
    </row>
    <row r="48" spans="1:13" s="77" customFormat="1" ht="14.1" customHeight="1">
      <c r="A48" s="192" t="s">
        <v>11</v>
      </c>
      <c r="B48" s="138">
        <v>0.03</v>
      </c>
      <c r="C48" s="146"/>
      <c r="D48" s="149"/>
      <c r="E48" s="117"/>
      <c r="F48" s="121"/>
      <c r="G48" s="149"/>
      <c r="H48" s="117"/>
      <c r="I48" s="121"/>
      <c r="J48" s="149"/>
      <c r="K48" s="117"/>
      <c r="L48" s="117"/>
      <c r="M48" s="121"/>
    </row>
    <row r="49" spans="1:14" s="77" customFormat="1" ht="14.1" customHeight="1">
      <c r="A49" s="192" t="s">
        <v>112</v>
      </c>
      <c r="B49" s="138"/>
      <c r="C49" s="146"/>
      <c r="D49" s="227">
        <f>ROUND(('Development Schedule'!E58+'Development Schedule'!E69)/$B$52,0)</f>
        <v>0</v>
      </c>
      <c r="E49" s="204">
        <f>ROUND(('Development Schedule'!F58+'Development Schedule'!F69)/$B$52,0)</f>
        <v>0</v>
      </c>
      <c r="F49" s="206">
        <f>ROUND(('Development Schedule'!G58+'Development Schedule'!G69)/$B$52,0)</f>
        <v>0</v>
      </c>
      <c r="G49" s="227">
        <f>ROUND(('Development Schedule'!H58+'Development Schedule'!H69)/$B$52,0)</f>
        <v>0</v>
      </c>
      <c r="H49" s="204">
        <f>ROUND(('Development Schedule'!I58+'Development Schedule'!I69)/$B$52,0)</f>
        <v>0</v>
      </c>
      <c r="I49" s="206">
        <f>ROUND(('Development Schedule'!J58+'Development Schedule'!J69)/$B$52,0)</f>
        <v>0</v>
      </c>
      <c r="J49" s="227">
        <f>ROUND(('Development Schedule'!K58+'Development Schedule'!K69)/$B$52,0)</f>
        <v>397</v>
      </c>
      <c r="K49" s="204">
        <f>ROUND(('Development Schedule'!L58+'Development Schedule'!L69)/$B$52,0)</f>
        <v>198</v>
      </c>
      <c r="L49" s="204">
        <f>ROUND(('Development Schedule'!M58+'Development Schedule'!M69)/$B$52,0)</f>
        <v>15</v>
      </c>
      <c r="M49" s="206">
        <f>ROUND(('Development Schedule'!N58+'Development Schedule'!N69)/$B$52,0)</f>
        <v>0</v>
      </c>
    </row>
    <row r="50" spans="1:14" s="77" customFormat="1" ht="14.1" customHeight="1">
      <c r="A50" s="192" t="s">
        <v>38</v>
      </c>
      <c r="B50" s="68"/>
      <c r="C50" s="147"/>
      <c r="D50" s="228">
        <f>ROUND($C$82*D55,0)</f>
        <v>0</v>
      </c>
      <c r="E50" s="68">
        <f>E51-SUM($D$50:D50)</f>
        <v>0</v>
      </c>
      <c r="F50" s="200">
        <f>F51-SUM($D$50:E50)</f>
        <v>0</v>
      </c>
      <c r="G50" s="228">
        <f>G51-SUM($D$50:F50)</f>
        <v>0</v>
      </c>
      <c r="H50" s="68">
        <f>H51-SUM($D$50:G50)</f>
        <v>0</v>
      </c>
      <c r="I50" s="200">
        <f>I51-SUM($D$50:H50)</f>
        <v>0</v>
      </c>
      <c r="J50" s="228">
        <f>J51-SUM($D$50:I50)</f>
        <v>183</v>
      </c>
      <c r="K50" s="68">
        <f>K51-SUM($D$50:J50)</f>
        <v>274</v>
      </c>
      <c r="L50" s="68">
        <f>L51-SUM($D$50:K50)</f>
        <v>121</v>
      </c>
      <c r="M50" s="200">
        <f>M51-SUM($D$50:L50)</f>
        <v>0</v>
      </c>
    </row>
    <row r="51" spans="1:14" s="77" customFormat="1" ht="14.1" customHeight="1">
      <c r="A51" s="192" t="s">
        <v>113</v>
      </c>
      <c r="B51" s="62"/>
      <c r="C51" s="147"/>
      <c r="D51" s="228">
        <f t="shared" ref="D51:M51" si="10">ROUND($C$82*D55,0)</f>
        <v>0</v>
      </c>
      <c r="E51" s="68">
        <f t="shared" si="10"/>
        <v>0</v>
      </c>
      <c r="F51" s="200">
        <f t="shared" si="10"/>
        <v>0</v>
      </c>
      <c r="G51" s="228">
        <f t="shared" si="10"/>
        <v>0</v>
      </c>
      <c r="H51" s="68">
        <f t="shared" si="10"/>
        <v>0</v>
      </c>
      <c r="I51" s="200">
        <f t="shared" si="10"/>
        <v>0</v>
      </c>
      <c r="J51" s="228">
        <f t="shared" si="10"/>
        <v>183</v>
      </c>
      <c r="K51" s="68">
        <f t="shared" si="10"/>
        <v>457</v>
      </c>
      <c r="L51" s="68">
        <f t="shared" si="10"/>
        <v>578</v>
      </c>
      <c r="M51" s="200">
        <f t="shared" si="10"/>
        <v>578</v>
      </c>
    </row>
    <row r="52" spans="1:14" s="77" customFormat="1" ht="14.1" customHeight="1">
      <c r="A52" s="192" t="s">
        <v>39</v>
      </c>
      <c r="B52" s="62">
        <v>1000</v>
      </c>
      <c r="C52" s="147"/>
      <c r="D52" s="229"/>
      <c r="E52" s="118"/>
      <c r="F52" s="207"/>
      <c r="G52" s="229"/>
      <c r="H52" s="118"/>
      <c r="I52" s="207"/>
      <c r="J52" s="229"/>
      <c r="K52" s="118"/>
      <c r="L52" s="118"/>
      <c r="M52" s="207"/>
    </row>
    <row r="53" spans="1:14" s="77" customFormat="1" ht="14.1" customHeight="1">
      <c r="A53" s="192" t="s">
        <v>40</v>
      </c>
      <c r="B53" s="68"/>
      <c r="C53" s="147"/>
      <c r="D53" s="230">
        <f>SUM($D$49:D49)*$B$52</f>
        <v>0</v>
      </c>
      <c r="E53" s="203">
        <f>SUM($D$49:E49)*$B$52</f>
        <v>0</v>
      </c>
      <c r="F53" s="208">
        <f>SUM($D$49:F49)*$B$52</f>
        <v>0</v>
      </c>
      <c r="G53" s="230">
        <f>SUM($D$49:G49)*$B$52</f>
        <v>0</v>
      </c>
      <c r="H53" s="203">
        <f>SUM($D$49:H49)*$B$52</f>
        <v>0</v>
      </c>
      <c r="I53" s="208">
        <f>SUM($D$49:I49)*$B$52</f>
        <v>0</v>
      </c>
      <c r="J53" s="230">
        <f>SUM($D$49:J49)*$B$52</f>
        <v>397000</v>
      </c>
      <c r="K53" s="203">
        <f>SUM($D$49:K49)*$B$52</f>
        <v>595000</v>
      </c>
      <c r="L53" s="203">
        <f>SUM($D$49:L49)*$B$52</f>
        <v>610000</v>
      </c>
      <c r="M53" s="208">
        <f>SUM($D$49:M49)*$B$52</f>
        <v>610000</v>
      </c>
    </row>
    <row r="54" spans="1:14" s="77" customFormat="1" ht="14.1" customHeight="1">
      <c r="A54" s="192" t="s">
        <v>115</v>
      </c>
      <c r="B54" s="68"/>
      <c r="C54" s="224">
        <f t="shared" ref="C54:M54" si="11">C44</f>
        <v>3.1208999999999998</v>
      </c>
      <c r="D54" s="231">
        <f t="shared" si="11"/>
        <v>3.2145269999999999</v>
      </c>
      <c r="E54" s="218">
        <f t="shared" si="11"/>
        <v>3.3109628099999995</v>
      </c>
      <c r="F54" s="219">
        <f t="shared" si="11"/>
        <v>3.4102916942999997</v>
      </c>
      <c r="G54" s="231">
        <f t="shared" si="11"/>
        <v>3.5126004451289994</v>
      </c>
      <c r="H54" s="218">
        <f t="shared" si="11"/>
        <v>3.6179784584828694</v>
      </c>
      <c r="I54" s="219">
        <f t="shared" si="11"/>
        <v>3.7265178122373555</v>
      </c>
      <c r="J54" s="231">
        <f t="shared" si="11"/>
        <v>3.8383133466044765</v>
      </c>
      <c r="K54" s="218">
        <f t="shared" si="11"/>
        <v>3.9534627470026105</v>
      </c>
      <c r="L54" s="218">
        <f t="shared" si="11"/>
        <v>4.0720666294126886</v>
      </c>
      <c r="M54" s="219">
        <f t="shared" si="11"/>
        <v>4.1942286282950692</v>
      </c>
    </row>
    <row r="55" spans="1:14" s="77" customFormat="1" ht="14.1" customHeight="1" thickBot="1">
      <c r="A55" s="150" t="s">
        <v>41</v>
      </c>
      <c r="B55" s="209"/>
      <c r="C55" s="225"/>
      <c r="D55" s="232">
        <v>0</v>
      </c>
      <c r="E55" s="211">
        <f>D55</f>
        <v>0</v>
      </c>
      <c r="F55" s="213">
        <f>E55</f>
        <v>0</v>
      </c>
      <c r="G55" s="240">
        <f>F55</f>
        <v>0</v>
      </c>
      <c r="H55" s="209">
        <f>G55</f>
        <v>0</v>
      </c>
      <c r="I55" s="213">
        <f>H55</f>
        <v>0</v>
      </c>
      <c r="J55" s="236">
        <v>0.3</v>
      </c>
      <c r="K55" s="212">
        <v>0.75</v>
      </c>
      <c r="L55" s="212">
        <v>0.94899999999999995</v>
      </c>
      <c r="M55" s="213">
        <f>L55</f>
        <v>0.94899999999999995</v>
      </c>
    </row>
    <row r="56" spans="1:14" s="77" customFormat="1" ht="3.75" customHeight="1" thickBot="1">
      <c r="A56" s="192"/>
      <c r="B56" s="119"/>
      <c r="C56" s="148"/>
      <c r="D56" s="234"/>
      <c r="E56" s="205"/>
      <c r="F56" s="235"/>
      <c r="G56" s="237"/>
      <c r="H56" s="138"/>
      <c r="I56" s="238"/>
      <c r="J56" s="287"/>
      <c r="K56" s="119"/>
      <c r="L56" s="119"/>
      <c r="M56" s="238"/>
    </row>
    <row r="57" spans="1:14" ht="13.5" thickBot="1">
      <c r="A57" s="217" t="s">
        <v>0</v>
      </c>
      <c r="B57" s="214"/>
      <c r="C57" s="223"/>
      <c r="D57" s="264"/>
      <c r="E57" s="220"/>
      <c r="F57" s="221"/>
      <c r="G57" s="264"/>
      <c r="H57" s="220"/>
      <c r="I57" s="221"/>
      <c r="J57" s="264"/>
      <c r="K57" s="220"/>
      <c r="L57" s="220"/>
      <c r="M57" s="221"/>
    </row>
    <row r="58" spans="1:14" s="39" customFormat="1" ht="14.1" customHeight="1">
      <c r="A58" s="192" t="s">
        <v>12</v>
      </c>
      <c r="B58" s="68"/>
      <c r="C58" s="283">
        <v>0</v>
      </c>
      <c r="D58" s="266">
        <f>SUM(D11,D21,D31,D41,D51)*$B$12*D14*12</f>
        <v>0</v>
      </c>
      <c r="E58" s="267">
        <f t="shared" ref="E58:M58" si="12">SUM(E11,E21,E31,E41,E51)*$B$12*E14*12</f>
        <v>0</v>
      </c>
      <c r="F58" s="268">
        <f t="shared" si="12"/>
        <v>1718787.0139271999</v>
      </c>
      <c r="G58" s="266">
        <f t="shared" si="12"/>
        <v>4425876.5608625393</v>
      </c>
      <c r="H58" s="267">
        <f t="shared" si="12"/>
        <v>10202699.252921691</v>
      </c>
      <c r="I58" s="268">
        <f t="shared" si="12"/>
        <v>18915804.414916817</v>
      </c>
      <c r="J58" s="284">
        <f t="shared" si="12"/>
        <v>33531505.395936705</v>
      </c>
      <c r="K58" s="249">
        <f>SUM(K11,K21,K31,K41,K51)*$B$12*K14*12</f>
        <v>48675033.34109614</v>
      </c>
      <c r="L58" s="249">
        <f t="shared" si="12"/>
        <v>56047925.087236248</v>
      </c>
      <c r="M58" s="253">
        <f t="shared" si="12"/>
        <v>57729362.839853331</v>
      </c>
      <c r="N58" s="378"/>
    </row>
    <row r="59" spans="1:14" s="39" customFormat="1" ht="14.1" customHeight="1">
      <c r="A59" s="254" t="s">
        <v>117</v>
      </c>
      <c r="B59" s="251">
        <v>0.35</v>
      </c>
      <c r="C59" s="285">
        <f>C58*-$B$59</f>
        <v>0</v>
      </c>
      <c r="D59" s="286">
        <f>D58*-$B$59</f>
        <v>0</v>
      </c>
      <c r="E59" s="252">
        <f>E58*-$B$59</f>
        <v>0</v>
      </c>
      <c r="F59" s="255">
        <f t="shared" ref="F59:M59" si="13">F58*-$B$59</f>
        <v>-601575.45487451996</v>
      </c>
      <c r="G59" s="286">
        <f t="shared" si="13"/>
        <v>-1549056.7963018888</v>
      </c>
      <c r="H59" s="252">
        <f t="shared" si="13"/>
        <v>-3570944.7385225915</v>
      </c>
      <c r="I59" s="255">
        <f t="shared" si="13"/>
        <v>-6620531.5452208854</v>
      </c>
      <c r="J59" s="286">
        <f t="shared" si="13"/>
        <v>-11736026.888577847</v>
      </c>
      <c r="K59" s="252">
        <f t="shared" si="13"/>
        <v>-17036261.669383649</v>
      </c>
      <c r="L59" s="252">
        <f t="shared" si="13"/>
        <v>-19616773.780532684</v>
      </c>
      <c r="M59" s="255">
        <f t="shared" si="13"/>
        <v>-20205276.993948665</v>
      </c>
      <c r="N59" s="378"/>
    </row>
    <row r="60" spans="1:14" s="39" customFormat="1" ht="14.1" customHeight="1" thickBot="1">
      <c r="A60" s="425" t="s">
        <v>5</v>
      </c>
      <c r="B60" s="71"/>
      <c r="C60" s="281">
        <f>SUM(C58:C59)</f>
        <v>0</v>
      </c>
      <c r="D60" s="282">
        <f>SUM(D58:D59)</f>
        <v>0</v>
      </c>
      <c r="E60" s="256">
        <f t="shared" ref="E60:M60" si="14">SUM(E58:E59)</f>
        <v>0</v>
      </c>
      <c r="F60" s="257">
        <f t="shared" si="14"/>
        <v>1117211.5590526799</v>
      </c>
      <c r="G60" s="282">
        <f t="shared" si="14"/>
        <v>2876819.7645606506</v>
      </c>
      <c r="H60" s="256">
        <f t="shared" si="14"/>
        <v>6631754.5143991001</v>
      </c>
      <c r="I60" s="257">
        <f t="shared" si="14"/>
        <v>12295272.869695932</v>
      </c>
      <c r="J60" s="282">
        <f t="shared" si="14"/>
        <v>21795478.507358856</v>
      </c>
      <c r="K60" s="256">
        <f t="shared" si="14"/>
        <v>31638771.671712492</v>
      </c>
      <c r="L60" s="256">
        <f t="shared" si="14"/>
        <v>36431151.306703568</v>
      </c>
      <c r="M60" s="257">
        <f t="shared" si="14"/>
        <v>37524085.845904663</v>
      </c>
    </row>
    <row r="61" spans="1:14" ht="13.5" thickBot="1">
      <c r="A61" s="217" t="s">
        <v>2</v>
      </c>
      <c r="B61" s="214"/>
      <c r="C61" s="223"/>
      <c r="D61" s="264"/>
      <c r="E61" s="220"/>
      <c r="F61" s="221"/>
      <c r="G61" s="264"/>
      <c r="H61" s="220"/>
      <c r="I61" s="221"/>
      <c r="J61" s="264"/>
      <c r="K61" s="220"/>
      <c r="L61" s="220"/>
      <c r="M61" s="221"/>
    </row>
    <row r="62" spans="1:14" s="39" customFormat="1" ht="14.1" customHeight="1">
      <c r="A62" s="192" t="s">
        <v>118</v>
      </c>
      <c r="B62" s="68"/>
      <c r="C62" s="239">
        <f>'Summary Board'!F97</f>
        <v>240.62200000000001</v>
      </c>
      <c r="D62" s="231">
        <f t="shared" ref="D62:M62" si="15">$C$62*(1+$B$8)^D4</f>
        <v>247.84066000000001</v>
      </c>
      <c r="E62" s="218">
        <f t="shared" si="15"/>
        <v>255.27587980000001</v>
      </c>
      <c r="F62" s="219">
        <f t="shared" si="15"/>
        <v>262.93415619400002</v>
      </c>
      <c r="G62" s="231">
        <f t="shared" si="15"/>
        <v>270.82218087982</v>
      </c>
      <c r="H62" s="218">
        <f t="shared" si="15"/>
        <v>278.94684630621458</v>
      </c>
      <c r="I62" s="219">
        <f t="shared" si="15"/>
        <v>287.31525169540106</v>
      </c>
      <c r="J62" s="231">
        <f t="shared" si="15"/>
        <v>295.93470924626308</v>
      </c>
      <c r="K62" s="218">
        <f t="shared" si="15"/>
        <v>304.81275052365095</v>
      </c>
      <c r="L62" s="218">
        <f t="shared" si="15"/>
        <v>313.95713303936049</v>
      </c>
      <c r="M62" s="219">
        <f t="shared" si="15"/>
        <v>323.37584703054131</v>
      </c>
    </row>
    <row r="63" spans="1:14" s="39" customFormat="1" ht="14.1" customHeight="1">
      <c r="A63" s="192" t="s">
        <v>13</v>
      </c>
      <c r="B63" s="68"/>
      <c r="C63" s="277">
        <f>C64/SUM($C$64:$M$64)</f>
        <v>0</v>
      </c>
      <c r="D63" s="278">
        <f t="shared" ref="D63:M63" si="16">D64/SUM($C$64:$M$64)</f>
        <v>0</v>
      </c>
      <c r="E63" s="205">
        <f>E64/SUM($C$64:$M$64)</f>
        <v>6.9418794931561265E-2</v>
      </c>
      <c r="F63" s="261">
        <f t="shared" si="16"/>
        <v>3.5750679389754056E-2</v>
      </c>
      <c r="G63" s="278">
        <f t="shared" si="16"/>
        <v>0.26620312106237948</v>
      </c>
      <c r="H63" s="205">
        <f t="shared" si="16"/>
        <v>6.5549471147196572E-2</v>
      </c>
      <c r="I63" s="261">
        <f t="shared" si="16"/>
        <v>3.3757977640806236E-2</v>
      </c>
      <c r="J63" s="278">
        <f t="shared" si="16"/>
        <v>0.34065524511460821</v>
      </c>
      <c r="K63" s="205">
        <f t="shared" si="16"/>
        <v>0.17543745123402321</v>
      </c>
      <c r="L63" s="205">
        <f t="shared" si="16"/>
        <v>1.3227259479670947E-2</v>
      </c>
      <c r="M63" s="261">
        <f t="shared" si="16"/>
        <v>0</v>
      </c>
    </row>
    <row r="64" spans="1:14" s="39" customFormat="1" ht="14.1" customHeight="1">
      <c r="A64" s="192" t="s">
        <v>2</v>
      </c>
      <c r="B64" s="68"/>
      <c r="C64" s="176">
        <f>C62*'Development Schedule'!D78</f>
        <v>0</v>
      </c>
      <c r="D64" s="375">
        <f>D62*'Development Schedule'!E78</f>
        <v>0</v>
      </c>
      <c r="E64" s="376">
        <f>E62*'Development Schedule'!F78</f>
        <v>23922923.799577203</v>
      </c>
      <c r="F64" s="377">
        <f>F62*'Development Schedule'!G78</f>
        <v>12320305.75678226</v>
      </c>
      <c r="G64" s="375">
        <f>G62*'Development Schedule'!H78</f>
        <v>91738224.304575965</v>
      </c>
      <c r="H64" s="376">
        <f>H62*'Development Schedule'!I78</f>
        <v>22589487.543005664</v>
      </c>
      <c r="I64" s="377">
        <f>I62*'Development Schedule'!J78</f>
        <v>11633586.084647918</v>
      </c>
      <c r="J64" s="375">
        <f>J62*'Development Schedule'!K78</f>
        <v>117395720.83954324</v>
      </c>
      <c r="K64" s="376">
        <f>K62*'Development Schedule'!L78</f>
        <v>60458796.232364766</v>
      </c>
      <c r="L64" s="376">
        <f>L62*'Development Schedule'!M78</f>
        <v>4558343.6145984745</v>
      </c>
      <c r="M64" s="377">
        <f>M62*'Development Schedule'!N78</f>
        <v>0</v>
      </c>
    </row>
    <row r="65" spans="1:13" s="39" customFormat="1" ht="14.1" customHeight="1">
      <c r="A65" s="254" t="s">
        <v>14</v>
      </c>
      <c r="B65" s="259"/>
      <c r="C65" s="863"/>
      <c r="D65" s="280"/>
      <c r="E65" s="260"/>
      <c r="F65" s="263"/>
      <c r="G65" s="280"/>
      <c r="H65" s="260"/>
      <c r="I65" s="263"/>
      <c r="J65" s="280"/>
      <c r="K65" s="260"/>
      <c r="L65" s="260"/>
      <c r="M65" s="263"/>
    </row>
    <row r="66" spans="1:13" s="39" customFormat="1" ht="13.5" customHeight="1" thickBot="1">
      <c r="A66" s="425" t="s">
        <v>3</v>
      </c>
      <c r="B66" s="71"/>
      <c r="C66" s="281">
        <f>SUM(C64:C65)</f>
        <v>0</v>
      </c>
      <c r="D66" s="282">
        <f t="shared" ref="D66:M66" si="17">SUM(D64:D65)</f>
        <v>0</v>
      </c>
      <c r="E66" s="256">
        <f t="shared" si="17"/>
        <v>23922923.799577203</v>
      </c>
      <c r="F66" s="257">
        <f t="shared" si="17"/>
        <v>12320305.75678226</v>
      </c>
      <c r="G66" s="282">
        <f t="shared" si="17"/>
        <v>91738224.304575965</v>
      </c>
      <c r="H66" s="256">
        <f t="shared" si="17"/>
        <v>22589487.543005664</v>
      </c>
      <c r="I66" s="257">
        <f t="shared" si="17"/>
        <v>11633586.084647918</v>
      </c>
      <c r="J66" s="282">
        <f t="shared" si="17"/>
        <v>117395720.83954324</v>
      </c>
      <c r="K66" s="256">
        <f t="shared" si="17"/>
        <v>60458796.232364766</v>
      </c>
      <c r="L66" s="256">
        <f t="shared" si="17"/>
        <v>4558343.6145984745</v>
      </c>
      <c r="M66" s="257">
        <f t="shared" si="17"/>
        <v>0</v>
      </c>
    </row>
    <row r="67" spans="1:13" ht="13.5" thickBot="1">
      <c r="A67" s="217" t="s">
        <v>4</v>
      </c>
      <c r="B67" s="214"/>
      <c r="C67" s="223"/>
      <c r="D67" s="264"/>
      <c r="E67" s="220"/>
      <c r="F67" s="221"/>
      <c r="G67" s="264"/>
      <c r="H67" s="220"/>
      <c r="I67" s="221"/>
      <c r="J67" s="264"/>
      <c r="K67" s="220"/>
      <c r="L67" s="220"/>
      <c r="M67" s="221"/>
    </row>
    <row r="68" spans="1:13" ht="14.1" customHeight="1">
      <c r="A68" s="192" t="s">
        <v>5</v>
      </c>
      <c r="B68" s="68"/>
      <c r="C68" s="265">
        <f>C60</f>
        <v>0</v>
      </c>
      <c r="D68" s="266">
        <f t="shared" ref="D68:M68" si="18">D60</f>
        <v>0</v>
      </c>
      <c r="E68" s="267">
        <f>E60</f>
        <v>0</v>
      </c>
      <c r="F68" s="268">
        <f t="shared" si="18"/>
        <v>1117211.5590526799</v>
      </c>
      <c r="G68" s="266">
        <f t="shared" si="18"/>
        <v>2876819.7645606506</v>
      </c>
      <c r="H68" s="267">
        <f t="shared" si="18"/>
        <v>6631754.5143991001</v>
      </c>
      <c r="I68" s="268">
        <f t="shared" si="18"/>
        <v>12295272.869695932</v>
      </c>
      <c r="J68" s="249">
        <f t="shared" si="18"/>
        <v>21795478.507358856</v>
      </c>
      <c r="K68" s="249">
        <f t="shared" si="18"/>
        <v>31638771.671712492</v>
      </c>
      <c r="L68" s="249">
        <f t="shared" si="18"/>
        <v>36431151.306703568</v>
      </c>
      <c r="M68" s="253">
        <f t="shared" si="18"/>
        <v>37524085.845904663</v>
      </c>
    </row>
    <row r="69" spans="1:13" ht="14.1" customHeight="1">
      <c r="A69" s="192" t="s">
        <v>60</v>
      </c>
      <c r="B69" s="119">
        <f>D85</f>
        <v>0.06</v>
      </c>
      <c r="C69" s="159">
        <v>0</v>
      </c>
      <c r="D69" s="269">
        <f>C69</f>
        <v>0</v>
      </c>
      <c r="E69" s="258">
        <f t="shared" ref="E69:L69" si="19">D69</f>
        <v>0</v>
      </c>
      <c r="F69" s="270">
        <f t="shared" si="19"/>
        <v>0</v>
      </c>
      <c r="G69" s="269">
        <f t="shared" si="19"/>
        <v>0</v>
      </c>
      <c r="H69" s="258">
        <f t="shared" si="19"/>
        <v>0</v>
      </c>
      <c r="I69" s="270">
        <f t="shared" si="19"/>
        <v>0</v>
      </c>
      <c r="J69" s="258">
        <f t="shared" si="19"/>
        <v>0</v>
      </c>
      <c r="K69" s="258">
        <f t="shared" si="19"/>
        <v>0</v>
      </c>
      <c r="L69" s="258">
        <f t="shared" si="19"/>
        <v>0</v>
      </c>
      <c r="M69" s="270">
        <f>M68/B69</f>
        <v>625401430.76507771</v>
      </c>
    </row>
    <row r="70" spans="1:13" ht="14.1" customHeight="1">
      <c r="A70" s="192" t="s">
        <v>61</v>
      </c>
      <c r="B70" s="119">
        <f>D86</f>
        <v>0.03</v>
      </c>
      <c r="C70" s="159">
        <v>0</v>
      </c>
      <c r="D70" s="269">
        <f>C70</f>
        <v>0</v>
      </c>
      <c r="E70" s="258">
        <f t="shared" ref="E70:L70" si="20">D70</f>
        <v>0</v>
      </c>
      <c r="F70" s="270">
        <f t="shared" si="20"/>
        <v>0</v>
      </c>
      <c r="G70" s="269">
        <f t="shared" si="20"/>
        <v>0</v>
      </c>
      <c r="H70" s="258">
        <f t="shared" si="20"/>
        <v>0</v>
      </c>
      <c r="I70" s="270">
        <f t="shared" si="20"/>
        <v>0</v>
      </c>
      <c r="J70" s="258">
        <f t="shared" si="20"/>
        <v>0</v>
      </c>
      <c r="K70" s="258">
        <f t="shared" si="20"/>
        <v>0</v>
      </c>
      <c r="L70" s="258">
        <f t="shared" si="20"/>
        <v>0</v>
      </c>
      <c r="M70" s="270">
        <f>M69*-B70</f>
        <v>-18762042.922952332</v>
      </c>
    </row>
    <row r="71" spans="1:13" ht="14.1" customHeight="1">
      <c r="A71" s="254" t="s">
        <v>119</v>
      </c>
      <c r="B71" s="259"/>
      <c r="C71" s="285">
        <f>-C66</f>
        <v>0</v>
      </c>
      <c r="D71" s="286">
        <f t="shared" ref="D71:M71" si="21">-D66</f>
        <v>0</v>
      </c>
      <c r="E71" s="252">
        <f t="shared" si="21"/>
        <v>-23922923.799577203</v>
      </c>
      <c r="F71" s="255">
        <f t="shared" si="21"/>
        <v>-12320305.75678226</v>
      </c>
      <c r="G71" s="286">
        <f t="shared" si="21"/>
        <v>-91738224.304575965</v>
      </c>
      <c r="H71" s="252">
        <f t="shared" si="21"/>
        <v>-22589487.543005664</v>
      </c>
      <c r="I71" s="255">
        <f t="shared" si="21"/>
        <v>-11633586.084647918</v>
      </c>
      <c r="J71" s="252">
        <f t="shared" si="21"/>
        <v>-117395720.83954324</v>
      </c>
      <c r="K71" s="252">
        <f t="shared" si="21"/>
        <v>-60458796.232364766</v>
      </c>
      <c r="L71" s="252">
        <f t="shared" si="21"/>
        <v>-4558343.6145984745</v>
      </c>
      <c r="M71" s="255">
        <f t="shared" si="21"/>
        <v>0</v>
      </c>
    </row>
    <row r="72" spans="1:13" ht="13.5" thickBot="1">
      <c r="A72" s="126" t="s">
        <v>6</v>
      </c>
      <c r="B72" s="71"/>
      <c r="C72" s="337">
        <f>SUM(C68:C71)</f>
        <v>0</v>
      </c>
      <c r="D72" s="337">
        <f t="shared" ref="D72:M72" si="22">SUM(D68:D71)</f>
        <v>0</v>
      </c>
      <c r="E72" s="338">
        <f t="shared" si="22"/>
        <v>-23922923.799577203</v>
      </c>
      <c r="F72" s="339">
        <f t="shared" si="22"/>
        <v>-11203094.19772958</v>
      </c>
      <c r="G72" s="337">
        <f t="shared" si="22"/>
        <v>-88861404.54001531</v>
      </c>
      <c r="H72" s="338">
        <f t="shared" si="22"/>
        <v>-15957733.028606564</v>
      </c>
      <c r="I72" s="339">
        <f t="shared" si="22"/>
        <v>661686.78504801355</v>
      </c>
      <c r="J72" s="338">
        <f t="shared" si="22"/>
        <v>-95600242.332184374</v>
      </c>
      <c r="K72" s="338">
        <f t="shared" si="22"/>
        <v>-28820024.560652275</v>
      </c>
      <c r="L72" s="338">
        <f t="shared" si="22"/>
        <v>31872807.692105092</v>
      </c>
      <c r="M72" s="339">
        <f t="shared" si="22"/>
        <v>644163473.68803012</v>
      </c>
    </row>
    <row r="73" spans="1:13" ht="13.5" thickBot="1">
      <c r="A73" s="125" t="s">
        <v>27</v>
      </c>
      <c r="B73" s="116"/>
      <c r="C73" s="337">
        <f>C72+NPV(D87,D72:M72)</f>
        <v>118301494.67524101</v>
      </c>
      <c r="D73" s="289"/>
      <c r="E73" s="290"/>
      <c r="F73" s="291"/>
      <c r="G73" s="289"/>
      <c r="H73" s="290"/>
      <c r="I73" s="291"/>
      <c r="J73" s="290"/>
      <c r="K73" s="290"/>
      <c r="L73" s="290"/>
      <c r="M73" s="291"/>
    </row>
    <row r="74" spans="1:13" ht="13.5" thickBot="1">
      <c r="A74" s="91" t="s">
        <v>62</v>
      </c>
      <c r="B74" s="169"/>
      <c r="C74" s="292">
        <f>IRR(C72:M72,0)</f>
        <v>0.20994850755209704</v>
      </c>
      <c r="D74" s="273"/>
      <c r="E74" s="169"/>
      <c r="F74" s="191"/>
      <c r="G74" s="273"/>
      <c r="H74" s="169"/>
      <c r="I74" s="191"/>
      <c r="J74" s="169"/>
      <c r="K74" s="169"/>
      <c r="L74" s="169"/>
      <c r="M74" s="191"/>
    </row>
    <row r="75" spans="1:13" ht="13.5" thickBot="1">
      <c r="A75" s="39"/>
      <c r="B75" s="61"/>
      <c r="C75" s="61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ht="13.5" thickBot="1">
      <c r="A76" s="202" t="s">
        <v>110</v>
      </c>
      <c r="B76" s="175"/>
      <c r="C76" s="175"/>
      <c r="D76" s="201"/>
      <c r="E76" s="39"/>
      <c r="F76" s="39">
        <f>245/1210</f>
        <v>0.2024793388429752</v>
      </c>
      <c r="G76" s="39"/>
      <c r="H76" s="39"/>
      <c r="I76" s="39"/>
      <c r="J76" s="39"/>
      <c r="K76" s="39"/>
      <c r="L76" s="39"/>
      <c r="M76" s="39"/>
    </row>
    <row r="77" spans="1:13" ht="13.5" thickBot="1">
      <c r="A77" s="89"/>
      <c r="B77" s="169"/>
      <c r="C77" s="94" t="s">
        <v>108</v>
      </c>
      <c r="D77" s="95" t="s">
        <v>109</v>
      </c>
      <c r="E77" s="39"/>
      <c r="F77" s="39"/>
      <c r="G77" s="39"/>
      <c r="H77" s="39"/>
      <c r="I77" s="39"/>
      <c r="J77" s="39"/>
      <c r="K77" s="39"/>
      <c r="L77" s="39"/>
      <c r="M77" s="39"/>
    </row>
    <row r="78" spans="1:13" hidden="1">
      <c r="A78" s="67" t="s">
        <v>365</v>
      </c>
      <c r="B78" s="68"/>
      <c r="C78" s="301">
        <f>D78/$B$12</f>
        <v>0</v>
      </c>
      <c r="D78" s="246"/>
      <c r="E78" s="39"/>
      <c r="F78" s="39"/>
      <c r="G78" s="39"/>
      <c r="H78" s="39"/>
      <c r="I78" s="39"/>
      <c r="J78" s="39"/>
      <c r="K78" s="39"/>
      <c r="L78" s="39"/>
      <c r="M78" s="39"/>
    </row>
    <row r="79" spans="1:13">
      <c r="A79" s="67" t="s">
        <v>89</v>
      </c>
      <c r="B79" s="68"/>
      <c r="C79" s="301">
        <f>D79/$B$22</f>
        <v>140.571</v>
      </c>
      <c r="D79" s="246">
        <f>'Development Schedule'!C29</f>
        <v>140571</v>
      </c>
      <c r="E79" s="39"/>
      <c r="F79" s="39"/>
      <c r="G79" s="39"/>
      <c r="H79" s="39"/>
      <c r="I79" s="39"/>
      <c r="J79" s="39"/>
      <c r="K79" s="39"/>
      <c r="L79" s="39"/>
      <c r="M79" s="39"/>
    </row>
    <row r="80" spans="1:13">
      <c r="A80" s="67" t="s">
        <v>366</v>
      </c>
      <c r="B80" s="68"/>
      <c r="C80" s="301">
        <f>D80/$B$32</f>
        <v>338.73970000000003</v>
      </c>
      <c r="D80" s="246">
        <f>'Development Schedule'!C35</f>
        <v>338739.7</v>
      </c>
      <c r="E80" s="39"/>
      <c r="F80" s="39"/>
      <c r="G80" s="39"/>
      <c r="H80" s="39"/>
      <c r="I80" s="39"/>
      <c r="J80" s="39"/>
      <c r="K80" s="39"/>
      <c r="L80" s="39"/>
      <c r="M80" s="39"/>
    </row>
    <row r="81" spans="1:13">
      <c r="A81" s="67" t="s">
        <v>367</v>
      </c>
      <c r="B81" s="68"/>
      <c r="C81" s="301">
        <f>D81/$B$42</f>
        <v>121.47199999999999</v>
      </c>
      <c r="D81" s="246">
        <f>'Development Schedule'!C46</f>
        <v>121472</v>
      </c>
      <c r="E81" s="39"/>
      <c r="F81" s="39"/>
      <c r="G81" s="39"/>
      <c r="H81" s="39"/>
      <c r="I81" s="39"/>
      <c r="J81" s="39"/>
      <c r="K81" s="39"/>
      <c r="L81" s="39"/>
      <c r="M81" s="39"/>
    </row>
    <row r="82" spans="1:13">
      <c r="A82" s="67" t="s">
        <v>116</v>
      </c>
      <c r="B82" s="68"/>
      <c r="C82" s="301">
        <f>D82/$B$52</f>
        <v>609.56100000000004</v>
      </c>
      <c r="D82" s="246">
        <f>'Development Schedule'!C58+'Development Schedule'!C69</f>
        <v>609561</v>
      </c>
      <c r="E82" s="39"/>
      <c r="F82" s="39"/>
      <c r="G82" s="39"/>
      <c r="H82" s="39"/>
      <c r="I82" s="39"/>
      <c r="J82" s="39"/>
      <c r="K82" s="39"/>
      <c r="L82" s="39"/>
      <c r="M82" s="39"/>
    </row>
    <row r="83" spans="1:13" ht="13.5" thickBot="1">
      <c r="A83" s="39"/>
      <c r="B83" s="61"/>
      <c r="C83" s="61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ht="13.5" thickBot="1">
      <c r="A84" s="202" t="s">
        <v>120</v>
      </c>
      <c r="B84" s="275"/>
      <c r="C84" s="275"/>
      <c r="D84" s="276"/>
      <c r="E84" s="39"/>
      <c r="F84" s="39"/>
      <c r="G84" s="39"/>
      <c r="H84" s="39"/>
      <c r="I84" s="39"/>
      <c r="J84" s="39"/>
      <c r="K84" s="39"/>
      <c r="L84" s="39"/>
      <c r="M84" s="39"/>
    </row>
    <row r="85" spans="1:13">
      <c r="A85" s="67" t="s">
        <v>121</v>
      </c>
      <c r="B85" s="68"/>
      <c r="C85" s="68"/>
      <c r="D85" s="235">
        <f>'Summary Board'!K121</f>
        <v>0.06</v>
      </c>
      <c r="E85" s="39"/>
      <c r="F85" s="39"/>
      <c r="G85" s="39"/>
      <c r="H85" s="39"/>
      <c r="I85" s="39"/>
      <c r="J85" s="39"/>
      <c r="K85" s="39"/>
      <c r="L85" s="39"/>
      <c r="M85" s="39"/>
    </row>
    <row r="86" spans="1:13">
      <c r="A86" s="67" t="s">
        <v>122</v>
      </c>
      <c r="B86" s="68"/>
      <c r="C86" s="68"/>
      <c r="D86" s="235">
        <v>0.03</v>
      </c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3.5" thickBot="1">
      <c r="A87" s="70" t="s">
        <v>106</v>
      </c>
      <c r="B87" s="71"/>
      <c r="C87" s="71"/>
      <c r="D87" s="839">
        <v>0.09</v>
      </c>
      <c r="E87" s="39"/>
      <c r="F87" s="39"/>
      <c r="G87" s="39"/>
      <c r="H87" s="39"/>
      <c r="I87" s="39"/>
      <c r="J87" s="39"/>
      <c r="K87" s="39"/>
      <c r="L87" s="39"/>
      <c r="M87" s="39"/>
    </row>
    <row r="88" spans="1:13">
      <c r="A88" s="39"/>
      <c r="B88" s="61"/>
      <c r="C88" s="61"/>
      <c r="D88" s="39"/>
      <c r="E88" s="39"/>
      <c r="F88" s="39"/>
      <c r="G88" s="39"/>
      <c r="H88" s="39"/>
      <c r="I88" s="39"/>
      <c r="J88" s="39"/>
      <c r="K88" s="39"/>
      <c r="L88" s="39"/>
      <c r="M88" s="39"/>
    </row>
  </sheetData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&amp;L&amp;"Arial,Bold"2. Income Statement: Market-rate Rental Housing</oddHeader>
  </headerFooter>
  <rowBreaks count="1" manualBreakCount="1">
    <brk id="55" max="1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topLeftCell="A31" zoomScale="85" zoomScaleNormal="100" zoomScaleSheetLayoutView="85" workbookViewId="0">
      <selection activeCell="C53" sqref="C53:C55"/>
    </sheetView>
  </sheetViews>
  <sheetFormatPr defaultColWidth="9.140625" defaultRowHeight="12.75"/>
  <cols>
    <col min="1" max="1" width="23.140625" style="107" customWidth="1"/>
    <col min="2" max="2" width="12.7109375" style="108" customWidth="1"/>
    <col min="3" max="3" width="16.42578125" style="108" bestFit="1" customWidth="1"/>
    <col min="4" max="4" width="17.140625" style="107" bestFit="1" customWidth="1"/>
    <col min="5" max="6" width="16" style="107" bestFit="1" customWidth="1"/>
    <col min="7" max="8" width="16.42578125" style="107" bestFit="1" customWidth="1"/>
    <col min="9" max="9" width="16" style="107" bestFit="1" customWidth="1"/>
    <col min="10" max="10" width="15.28515625" style="107" bestFit="1" customWidth="1"/>
    <col min="11" max="11" width="16.7109375" style="107" bestFit="1" customWidth="1"/>
    <col min="12" max="13" width="16.42578125" style="107" bestFit="1" customWidth="1"/>
    <col min="14" max="16384" width="9.140625" style="107"/>
  </cols>
  <sheetData>
    <row r="1" spans="1:13" ht="14.1" customHeight="1" thickBot="1">
      <c r="A1" s="39"/>
      <c r="B1" s="61"/>
      <c r="C1" s="61"/>
      <c r="D1" s="39"/>
      <c r="E1" s="39"/>
      <c r="F1" s="39"/>
      <c r="G1" s="39"/>
      <c r="H1" s="39"/>
      <c r="I1" s="39"/>
      <c r="J1" s="39"/>
      <c r="K1" s="39"/>
      <c r="L1" s="151" t="s">
        <v>107</v>
      </c>
      <c r="M1" s="351">
        <v>175175</v>
      </c>
    </row>
    <row r="2" spans="1:13" ht="14.1" customHeight="1" thickBot="1">
      <c r="A2" s="39"/>
      <c r="B2" s="61"/>
      <c r="C2" s="61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4.1" customHeight="1" thickBot="1">
      <c r="A3" s="139"/>
      <c r="B3" s="222"/>
      <c r="C3" s="49" t="s">
        <v>58</v>
      </c>
      <c r="D3" s="114" t="s">
        <v>37</v>
      </c>
      <c r="E3" s="115"/>
      <c r="F3" s="46"/>
      <c r="G3" s="114" t="s">
        <v>80</v>
      </c>
      <c r="H3" s="160"/>
      <c r="I3" s="46"/>
      <c r="J3" s="44" t="s">
        <v>81</v>
      </c>
      <c r="K3" s="44"/>
      <c r="L3" s="45"/>
      <c r="M3" s="46"/>
    </row>
    <row r="4" spans="1:13" ht="14.1" customHeight="1" thickBot="1">
      <c r="A4" s="67"/>
      <c r="B4" s="68"/>
      <c r="C4" s="311">
        <v>0</v>
      </c>
      <c r="D4" s="112">
        <f>C4+1</f>
        <v>1</v>
      </c>
      <c r="E4" s="111">
        <f t="shared" ref="E4:M5" si="0">D4+1</f>
        <v>2</v>
      </c>
      <c r="F4" s="113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1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13" ht="14.1" customHeight="1" thickBot="1">
      <c r="A5" s="70"/>
      <c r="B5" s="152"/>
      <c r="C5" s="311" t="s">
        <v>311</v>
      </c>
      <c r="D5" s="300">
        <v>2019</v>
      </c>
      <c r="E5" s="111">
        <f>D5+1</f>
        <v>2020</v>
      </c>
      <c r="F5" s="113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1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</row>
    <row r="6" spans="1:13" ht="13.5" thickBot="1">
      <c r="A6" s="217" t="s">
        <v>10</v>
      </c>
      <c r="B6" s="214"/>
      <c r="C6" s="223"/>
      <c r="D6" s="226"/>
      <c r="E6" s="215"/>
      <c r="F6" s="216"/>
      <c r="G6" s="226"/>
      <c r="H6" s="215"/>
      <c r="I6" s="216"/>
      <c r="J6" s="215"/>
      <c r="K6" s="215"/>
      <c r="L6" s="215"/>
      <c r="M6" s="216"/>
    </row>
    <row r="7" spans="1:13">
      <c r="A7" s="344" t="s">
        <v>37</v>
      </c>
      <c r="B7" s="222"/>
      <c r="C7" s="345"/>
      <c r="D7" s="139"/>
      <c r="E7" s="346"/>
      <c r="F7" s="347"/>
      <c r="G7" s="139"/>
      <c r="H7" s="346"/>
      <c r="I7" s="347"/>
      <c r="J7" s="346"/>
      <c r="K7" s="346"/>
      <c r="L7" s="346"/>
      <c r="M7" s="347"/>
    </row>
    <row r="8" spans="1:13" ht="14.1" customHeight="1">
      <c r="A8" s="192" t="s">
        <v>11</v>
      </c>
      <c r="B8" s="138">
        <v>0.03</v>
      </c>
      <c r="C8" s="146"/>
      <c r="D8" s="149"/>
      <c r="E8" s="117"/>
      <c r="F8" s="121"/>
      <c r="G8" s="149"/>
      <c r="H8" s="117"/>
      <c r="I8" s="121"/>
      <c r="J8" s="117"/>
      <c r="K8" s="117"/>
      <c r="L8" s="117"/>
      <c r="M8" s="121"/>
    </row>
    <row r="9" spans="1:13" ht="14.1" customHeight="1">
      <c r="A9" s="192" t="s">
        <v>112</v>
      </c>
      <c r="B9" s="138"/>
      <c r="C9" s="146"/>
      <c r="D9" s="227">
        <f>ROUND(('Development Schedule'!E12)/$B$21,0)</f>
        <v>242</v>
      </c>
      <c r="E9" s="204">
        <f>ROUND(('Development Schedule'!F12)/$B$21,0)</f>
        <v>0</v>
      </c>
      <c r="F9" s="206">
        <f>ROUND(('Development Schedule'!G12)/$B$21,0)</f>
        <v>0</v>
      </c>
      <c r="G9" s="227">
        <f>ROUND(('Development Schedule'!H12)/$B$21,0)</f>
        <v>0</v>
      </c>
      <c r="H9" s="204">
        <f>ROUND(('Development Schedule'!I12)/$B$21,0)</f>
        <v>0</v>
      </c>
      <c r="I9" s="206">
        <f>ROUND(('Development Schedule'!J12)/$B$21,0)</f>
        <v>0</v>
      </c>
      <c r="J9" s="204">
        <f>ROUND(('Development Schedule'!K12)/$B$21,0)</f>
        <v>0</v>
      </c>
      <c r="K9" s="204">
        <f>ROUND(('Development Schedule'!L12)/$B$21,0)</f>
        <v>0</v>
      </c>
      <c r="L9" s="204">
        <f>ROUND(('Development Schedule'!M12)/$B$21,0)</f>
        <v>0</v>
      </c>
      <c r="M9" s="206">
        <f>ROUND(('Development Schedule'!N12)/$B$21,0)</f>
        <v>0</v>
      </c>
    </row>
    <row r="10" spans="1:13" ht="14.1" customHeight="1">
      <c r="A10" s="192" t="s">
        <v>124</v>
      </c>
      <c r="B10" s="138"/>
      <c r="C10" s="146"/>
      <c r="D10" s="317">
        <v>0</v>
      </c>
      <c r="E10" s="301">
        <f>$C$53/3</f>
        <v>80.507733333333334</v>
      </c>
      <c r="F10" s="305">
        <f>E10</f>
        <v>80.507733333333334</v>
      </c>
      <c r="G10" s="318">
        <f>F10</f>
        <v>80.507733333333334</v>
      </c>
      <c r="H10" s="301">
        <v>0</v>
      </c>
      <c r="I10" s="305">
        <v>0</v>
      </c>
      <c r="J10" s="301">
        <f>C45-SUM(H10:I10)</f>
        <v>0</v>
      </c>
      <c r="K10" s="302">
        <v>0</v>
      </c>
      <c r="L10" s="301">
        <f>K10</f>
        <v>0</v>
      </c>
      <c r="M10" s="305">
        <f>L10</f>
        <v>0</v>
      </c>
    </row>
    <row r="11" spans="1:13" ht="13.5" customHeight="1">
      <c r="A11" s="192" t="s">
        <v>125</v>
      </c>
      <c r="B11" s="68"/>
      <c r="C11" s="147"/>
      <c r="D11" s="318">
        <f>SUM($D10:D$10)</f>
        <v>0</v>
      </c>
      <c r="E11" s="301">
        <f>SUM($D10:E$10)</f>
        <v>80.507733333333334</v>
      </c>
      <c r="F11" s="305">
        <f>SUM($D10:F$10)</f>
        <v>161.01546666666667</v>
      </c>
      <c r="G11" s="318">
        <f>SUM($D10:G$10)</f>
        <v>241.5232</v>
      </c>
      <c r="H11" s="301">
        <f>SUM($D10:H$10)</f>
        <v>241.5232</v>
      </c>
      <c r="I11" s="305">
        <f>SUM($D10:I$10)</f>
        <v>241.5232</v>
      </c>
      <c r="J11" s="301">
        <f>SUM($D10:J$10)</f>
        <v>241.5232</v>
      </c>
      <c r="K11" s="301">
        <f>SUM($D10:K$10)</f>
        <v>241.5232</v>
      </c>
      <c r="L11" s="301">
        <f>SUM($D10:L$10)</f>
        <v>241.5232</v>
      </c>
      <c r="M11" s="305">
        <f>SUM($D10:M$10)</f>
        <v>241.5232</v>
      </c>
    </row>
    <row r="12" spans="1:13" ht="14.1" customHeight="1">
      <c r="A12" s="192" t="s">
        <v>39</v>
      </c>
      <c r="B12" s="62">
        <v>1000</v>
      </c>
      <c r="C12" s="147"/>
      <c r="D12" s="229"/>
      <c r="E12" s="118"/>
      <c r="F12" s="207"/>
      <c r="G12" s="229"/>
      <c r="H12" s="118"/>
      <c r="I12" s="207"/>
      <c r="J12" s="118"/>
      <c r="K12" s="118"/>
      <c r="L12" s="118"/>
      <c r="M12" s="207"/>
    </row>
    <row r="13" spans="1:13" ht="14.1" customHeight="1">
      <c r="A13" s="192" t="s">
        <v>42</v>
      </c>
      <c r="B13" s="68"/>
      <c r="C13" s="147"/>
      <c r="D13" s="319">
        <f>SUM($D9:D$9)*$B$21</f>
        <v>242000</v>
      </c>
      <c r="E13" s="303">
        <f>SUM($D9:E$9)*$B$21</f>
        <v>242000</v>
      </c>
      <c r="F13" s="306">
        <f>SUM($D9:F$9)*$B$21</f>
        <v>242000</v>
      </c>
      <c r="G13" s="319">
        <f>SUM($D9:G$9)*$B$21</f>
        <v>242000</v>
      </c>
      <c r="H13" s="303">
        <f>SUM($D9:H$9)*$B$21</f>
        <v>242000</v>
      </c>
      <c r="I13" s="306">
        <f>SUM($D9:I$9)*$B$21</f>
        <v>242000</v>
      </c>
      <c r="J13" s="303">
        <f>SUM($D9:J$9)*$B$21</f>
        <v>242000</v>
      </c>
      <c r="K13" s="303">
        <f>SUM($D9:K$9)*$B$21</f>
        <v>242000</v>
      </c>
      <c r="L13" s="303">
        <f>SUM($D9:L$9)*$B$21</f>
        <v>242000</v>
      </c>
      <c r="M13" s="306">
        <f>SUM($D9:M$9)*$B$21</f>
        <v>242000</v>
      </c>
    </row>
    <row r="14" spans="1:13" ht="20.45" customHeight="1" thickBot="1">
      <c r="A14" s="150" t="s">
        <v>126</v>
      </c>
      <c r="B14" s="71"/>
      <c r="C14" s="310">
        <f>'Summary Board'!K103</f>
        <v>463.61329999999998</v>
      </c>
      <c r="D14" s="320">
        <f t="shared" ref="D14:M14" si="1">$C14*(1+$B$17)^D$4</f>
        <v>477.52169900000001</v>
      </c>
      <c r="E14" s="307">
        <f t="shared" si="1"/>
        <v>491.84734996999998</v>
      </c>
      <c r="F14" s="308">
        <f t="shared" si="1"/>
        <v>506.60277046909999</v>
      </c>
      <c r="G14" s="320">
        <f t="shared" si="1"/>
        <v>521.80085358317297</v>
      </c>
      <c r="H14" s="307">
        <f t="shared" si="1"/>
        <v>537.45487919066807</v>
      </c>
      <c r="I14" s="308">
        <f t="shared" si="1"/>
        <v>553.57852556638818</v>
      </c>
      <c r="J14" s="307">
        <f t="shared" si="1"/>
        <v>570.18588133337983</v>
      </c>
      <c r="K14" s="307">
        <f t="shared" si="1"/>
        <v>587.29145777338113</v>
      </c>
      <c r="L14" s="307">
        <f t="shared" si="1"/>
        <v>604.91020150658267</v>
      </c>
      <c r="M14" s="308">
        <f t="shared" si="1"/>
        <v>623.05750755178008</v>
      </c>
    </row>
    <row r="15" spans="1:13" ht="4.1500000000000004" customHeight="1" thickBot="1">
      <c r="A15" s="192"/>
      <c r="B15" s="68"/>
      <c r="C15" s="239"/>
      <c r="D15" s="231"/>
      <c r="E15" s="218"/>
      <c r="F15" s="219"/>
      <c r="G15" s="231"/>
      <c r="H15" s="218"/>
      <c r="I15" s="219"/>
      <c r="J15" s="218"/>
      <c r="K15" s="218"/>
      <c r="L15" s="218"/>
      <c r="M15" s="219"/>
    </row>
    <row r="16" spans="1:13">
      <c r="A16" s="344" t="s">
        <v>80</v>
      </c>
      <c r="B16" s="222"/>
      <c r="C16" s="345"/>
      <c r="D16" s="139"/>
      <c r="E16" s="346"/>
      <c r="F16" s="347"/>
      <c r="G16" s="139"/>
      <c r="H16" s="346"/>
      <c r="I16" s="347"/>
      <c r="J16" s="346"/>
      <c r="K16" s="346"/>
      <c r="L16" s="346"/>
      <c r="M16" s="347"/>
    </row>
    <row r="17" spans="1:13" ht="14.1" customHeight="1">
      <c r="A17" s="192" t="s">
        <v>11</v>
      </c>
      <c r="B17" s="138">
        <v>0.03</v>
      </c>
      <c r="C17" s="146"/>
      <c r="D17" s="149"/>
      <c r="E17" s="117"/>
      <c r="F17" s="121"/>
      <c r="G17" s="149"/>
      <c r="H17" s="117"/>
      <c r="I17" s="121"/>
      <c r="J17" s="117"/>
      <c r="K17" s="117"/>
      <c r="L17" s="117"/>
      <c r="M17" s="121"/>
    </row>
    <row r="18" spans="1:13" ht="14.1" customHeight="1">
      <c r="A18" s="192" t="s">
        <v>112</v>
      </c>
      <c r="B18" s="138"/>
      <c r="C18" s="146"/>
      <c r="D18" s="227">
        <f>ROUND(('Development Schedule'!E40+'Development Schedule'!E44)/$B$21,0)</f>
        <v>0</v>
      </c>
      <c r="E18" s="204">
        <f>ROUND(('Development Schedule'!F40+'Development Schedule'!F44)/$B$21,0)</f>
        <v>0</v>
      </c>
      <c r="F18" s="206">
        <f>ROUND(('Development Schedule'!G40+'Development Schedule'!G44)/$B$21,0)</f>
        <v>0</v>
      </c>
      <c r="G18" s="227">
        <f>ROUND(('Development Schedule'!H40+'Development Schedule'!H44)/$B$21,0)</f>
        <v>4</v>
      </c>
      <c r="H18" s="204">
        <f>ROUND(('Development Schedule'!I40+'Development Schedule'!I44)/$B$21,0)</f>
        <v>109</v>
      </c>
      <c r="I18" s="206">
        <f>ROUND(('Development Schedule'!J40+'Development Schedule'!J44)/$B$21,0)</f>
        <v>53</v>
      </c>
      <c r="J18" s="204">
        <f>ROUND(('Development Schedule'!K40+'Development Schedule'!K44)/$B$21,0)</f>
        <v>0</v>
      </c>
      <c r="K18" s="204">
        <f>ROUND(('Development Schedule'!L40+'Development Schedule'!L44)/$B$21,0)</f>
        <v>0</v>
      </c>
      <c r="L18" s="204">
        <f>ROUND(('Development Schedule'!M40+'Development Schedule'!M44)/$B$21,0)</f>
        <v>0</v>
      </c>
      <c r="M18" s="206">
        <f>ROUND(('Development Schedule'!N40+'Development Schedule'!N44)/$B$21,0)</f>
        <v>0</v>
      </c>
    </row>
    <row r="19" spans="1:13" ht="14.1" customHeight="1">
      <c r="A19" s="192" t="s">
        <v>124</v>
      </c>
      <c r="B19" s="138"/>
      <c r="C19" s="146"/>
      <c r="D19" s="317">
        <v>0</v>
      </c>
      <c r="E19" s="301">
        <f>D19</f>
        <v>0</v>
      </c>
      <c r="F19" s="305">
        <f>E19</f>
        <v>0</v>
      </c>
      <c r="G19" s="318">
        <f>F19</f>
        <v>0</v>
      </c>
      <c r="H19" s="301">
        <f>ROUND($C$54/3,0)</f>
        <v>55</v>
      </c>
      <c r="I19" s="305">
        <f>ROUND($C$54/3,0)</f>
        <v>55</v>
      </c>
      <c r="J19" s="301">
        <f>C54-SUM(H19:I19)</f>
        <v>55.530299999999983</v>
      </c>
      <c r="K19" s="302">
        <v>0</v>
      </c>
      <c r="L19" s="301">
        <f>K19</f>
        <v>0</v>
      </c>
      <c r="M19" s="305">
        <f>L19</f>
        <v>0</v>
      </c>
    </row>
    <row r="20" spans="1:13" ht="13.5" customHeight="1">
      <c r="A20" s="192" t="s">
        <v>125</v>
      </c>
      <c r="B20" s="68"/>
      <c r="C20" s="147"/>
      <c r="D20" s="318">
        <f>SUM($D$19:D19)</f>
        <v>0</v>
      </c>
      <c r="E20" s="301">
        <f>SUM($D$19:E19)</f>
        <v>0</v>
      </c>
      <c r="F20" s="305">
        <f>SUM($D$19:F19)</f>
        <v>0</v>
      </c>
      <c r="G20" s="318">
        <f>SUM($D$19:G19)</f>
        <v>0</v>
      </c>
      <c r="H20" s="301">
        <f>SUM($D$19:H19)</f>
        <v>55</v>
      </c>
      <c r="I20" s="305">
        <f>SUM($D$19:I19)</f>
        <v>110</v>
      </c>
      <c r="J20" s="301">
        <f>SUM($D$19:J19)</f>
        <v>165.53029999999998</v>
      </c>
      <c r="K20" s="301">
        <f>SUM($D$19:K19)</f>
        <v>165.53029999999998</v>
      </c>
      <c r="L20" s="301">
        <f>SUM($D$19:L19)</f>
        <v>165.53029999999998</v>
      </c>
      <c r="M20" s="305">
        <f>SUM($D$19:M19)</f>
        <v>165.53029999999998</v>
      </c>
    </row>
    <row r="21" spans="1:13" ht="14.1" customHeight="1">
      <c r="A21" s="192" t="s">
        <v>39</v>
      </c>
      <c r="B21" s="62">
        <v>1000</v>
      </c>
      <c r="C21" s="147"/>
      <c r="D21" s="229"/>
      <c r="E21" s="118"/>
      <c r="F21" s="207"/>
      <c r="G21" s="229"/>
      <c r="H21" s="118"/>
      <c r="I21" s="207"/>
      <c r="J21" s="118"/>
      <c r="K21" s="118"/>
      <c r="L21" s="118"/>
      <c r="M21" s="207"/>
    </row>
    <row r="22" spans="1:13" ht="14.1" customHeight="1">
      <c r="A22" s="192" t="s">
        <v>42</v>
      </c>
      <c r="B22" s="68"/>
      <c r="C22" s="147"/>
      <c r="D22" s="319">
        <f>SUM($D$18:D18)*$B$21</f>
        <v>0</v>
      </c>
      <c r="E22" s="303">
        <f>SUM($D$18:E18)*$B$21</f>
        <v>0</v>
      </c>
      <c r="F22" s="306">
        <f>SUM($D$18:F18)*$B$21</f>
        <v>0</v>
      </c>
      <c r="G22" s="319">
        <f>SUM($D$18:G18)*$B$21</f>
        <v>4000</v>
      </c>
      <c r="H22" s="303">
        <f>SUM($D$18:H18)*$B$21</f>
        <v>113000</v>
      </c>
      <c r="I22" s="306">
        <f>SUM($D$18:I18)*$B$21</f>
        <v>166000</v>
      </c>
      <c r="J22" s="303">
        <f>SUM($D$18:J18)*$B$21</f>
        <v>166000</v>
      </c>
      <c r="K22" s="303">
        <f>SUM($D$18:K18)*$B$21</f>
        <v>166000</v>
      </c>
      <c r="L22" s="303">
        <f>SUM($D$18:L18)*$B$21</f>
        <v>166000</v>
      </c>
      <c r="M22" s="306">
        <f>SUM($D$18:M18)*$B$21</f>
        <v>166000</v>
      </c>
    </row>
    <row r="23" spans="1:13" ht="14.1" customHeight="1" thickBot="1">
      <c r="A23" s="150" t="s">
        <v>126</v>
      </c>
      <c r="B23" s="71"/>
      <c r="C23" s="310">
        <f>C14</f>
        <v>463.61329999999998</v>
      </c>
      <c r="D23" s="320">
        <f t="shared" ref="D23:M23" si="2">$C23*(1+$B$17)^D$4</f>
        <v>477.52169900000001</v>
      </c>
      <c r="E23" s="307">
        <f t="shared" si="2"/>
        <v>491.84734996999998</v>
      </c>
      <c r="F23" s="308">
        <f t="shared" si="2"/>
        <v>506.60277046909999</v>
      </c>
      <c r="G23" s="320">
        <f t="shared" si="2"/>
        <v>521.80085358317297</v>
      </c>
      <c r="H23" s="307">
        <f t="shared" si="2"/>
        <v>537.45487919066807</v>
      </c>
      <c r="I23" s="308">
        <f t="shared" si="2"/>
        <v>553.57852556638818</v>
      </c>
      <c r="J23" s="307">
        <f t="shared" si="2"/>
        <v>570.18588133337983</v>
      </c>
      <c r="K23" s="307">
        <f t="shared" si="2"/>
        <v>587.29145777338113</v>
      </c>
      <c r="L23" s="307">
        <f t="shared" si="2"/>
        <v>604.91020150658267</v>
      </c>
      <c r="M23" s="308">
        <f t="shared" si="2"/>
        <v>623.05750755178008</v>
      </c>
    </row>
    <row r="24" spans="1:13" ht="4.5" customHeight="1">
      <c r="A24" s="352"/>
      <c r="B24" s="222"/>
      <c r="C24" s="309"/>
      <c r="D24" s="315"/>
      <c r="E24" s="304"/>
      <c r="F24" s="316"/>
      <c r="G24" s="315"/>
      <c r="H24" s="304"/>
      <c r="I24" s="316"/>
      <c r="J24" s="304"/>
      <c r="K24" s="304"/>
      <c r="L24" s="304"/>
      <c r="M24" s="316"/>
    </row>
    <row r="25" spans="1:13">
      <c r="A25" s="66" t="s">
        <v>81</v>
      </c>
      <c r="B25" s="68"/>
      <c r="C25" s="147"/>
      <c r="D25" s="67"/>
      <c r="E25" s="77"/>
      <c r="F25" s="122"/>
      <c r="G25" s="67"/>
      <c r="H25" s="77"/>
      <c r="I25" s="122"/>
      <c r="J25" s="77"/>
      <c r="K25" s="77"/>
      <c r="L25" s="77"/>
      <c r="M25" s="122"/>
    </row>
    <row r="26" spans="1:13" ht="14.1" customHeight="1">
      <c r="A26" s="192" t="s">
        <v>11</v>
      </c>
      <c r="B26" s="138">
        <v>0.03</v>
      </c>
      <c r="C26" s="146"/>
      <c r="D26" s="149"/>
      <c r="E26" s="117"/>
      <c r="F26" s="121"/>
      <c r="G26" s="149"/>
      <c r="H26" s="117"/>
      <c r="I26" s="121"/>
      <c r="J26" s="117"/>
      <c r="K26" s="117"/>
      <c r="L26" s="117"/>
      <c r="M26" s="121"/>
    </row>
    <row r="27" spans="1:13" ht="14.1" customHeight="1">
      <c r="A27" s="192" t="s">
        <v>112</v>
      </c>
      <c r="B27" s="138"/>
      <c r="C27" s="146"/>
      <c r="D27" s="348">
        <f>ROUND(('Development Schedule'!E63+'Development Schedule'!E66)/$B$30,0)</f>
        <v>0</v>
      </c>
      <c r="E27" s="349">
        <f>ROUND(('Development Schedule'!F63+'Development Schedule'!F66)/$B$30,0)</f>
        <v>0</v>
      </c>
      <c r="F27" s="246">
        <f>ROUND(('Development Schedule'!G63+'Development Schedule'!G66)/$B$30,0)</f>
        <v>0</v>
      </c>
      <c r="G27" s="348">
        <f>ROUND(('Development Schedule'!H63+'Development Schedule'!H66)/$B$30,0)</f>
        <v>0</v>
      </c>
      <c r="H27" s="349">
        <f>ROUND(('Development Schedule'!I63+'Development Schedule'!I66)/$B$30,0)</f>
        <v>0</v>
      </c>
      <c r="I27" s="246">
        <f>ROUND(('Development Schedule'!J63+'Development Schedule'!J66)/$B$30,0)</f>
        <v>0</v>
      </c>
      <c r="J27" s="349">
        <f>ROUND(('Development Schedule'!K63+'Development Schedule'!K66)/$B$30,0)</f>
        <v>0</v>
      </c>
      <c r="K27" s="349">
        <f>ROUND(('Development Schedule'!L63+'Development Schedule'!L66)/$B$30,0)</f>
        <v>200</v>
      </c>
      <c r="L27" s="349">
        <f>ROUND(('Development Schedule'!M63+'Development Schedule'!M66)/$B$30,0)</f>
        <v>26</v>
      </c>
      <c r="M27" s="246">
        <f>ROUND(('Development Schedule'!N63+'Development Schedule'!N66)/$B$30,0)</f>
        <v>0</v>
      </c>
    </row>
    <row r="28" spans="1:13" ht="14.1" customHeight="1">
      <c r="A28" s="192" t="s">
        <v>124</v>
      </c>
      <c r="B28" s="138"/>
      <c r="C28" s="146"/>
      <c r="D28" s="350">
        <v>0</v>
      </c>
      <c r="E28" s="203">
        <f t="shared" ref="E28:K28" si="3">D28</f>
        <v>0</v>
      </c>
      <c r="F28" s="208">
        <f t="shared" si="3"/>
        <v>0</v>
      </c>
      <c r="G28" s="230">
        <f t="shared" si="3"/>
        <v>0</v>
      </c>
      <c r="H28" s="203">
        <f t="shared" si="3"/>
        <v>0</v>
      </c>
      <c r="I28" s="865">
        <f t="shared" si="3"/>
        <v>0</v>
      </c>
      <c r="J28" s="864">
        <f t="shared" si="3"/>
        <v>0</v>
      </c>
      <c r="K28" s="62">
        <f t="shared" si="3"/>
        <v>0</v>
      </c>
      <c r="L28" s="203">
        <f>ROUND($C$55/2,0)</f>
        <v>113</v>
      </c>
      <c r="M28" s="203">
        <f>ROUND($C$55/2,0)</f>
        <v>113</v>
      </c>
    </row>
    <row r="29" spans="1:13" ht="13.5" customHeight="1">
      <c r="A29" s="192" t="s">
        <v>125</v>
      </c>
      <c r="B29" s="68"/>
      <c r="C29" s="147"/>
      <c r="D29" s="230">
        <f>SUM($D$28:D28)</f>
        <v>0</v>
      </c>
      <c r="E29" s="203">
        <f>SUM($D$28:E28)</f>
        <v>0</v>
      </c>
      <c r="F29" s="208">
        <f>SUM($D$28:F28)</f>
        <v>0</v>
      </c>
      <c r="G29" s="230">
        <f>SUM($D$28:G28)</f>
        <v>0</v>
      </c>
      <c r="H29" s="203">
        <f>SUM($D$28:H28)</f>
        <v>0</v>
      </c>
      <c r="I29" s="208">
        <f>SUM($D$28:L28)</f>
        <v>113</v>
      </c>
      <c r="J29" s="203">
        <f>SUM($D$28:M28)</f>
        <v>226</v>
      </c>
      <c r="K29" s="203">
        <f>SUM($D$28:K28)</f>
        <v>0</v>
      </c>
      <c r="L29" s="203">
        <f>SUM($D$28:L28)</f>
        <v>113</v>
      </c>
      <c r="M29" s="208">
        <f>SUM($D$28:M28)</f>
        <v>226</v>
      </c>
    </row>
    <row r="30" spans="1:13" ht="14.1" customHeight="1">
      <c r="A30" s="192" t="s">
        <v>39</v>
      </c>
      <c r="B30" s="62">
        <v>1000</v>
      </c>
      <c r="C30" s="147"/>
      <c r="D30" s="321"/>
      <c r="E30" s="322"/>
      <c r="F30" s="323"/>
      <c r="G30" s="321"/>
      <c r="H30" s="322"/>
      <c r="I30" s="323"/>
      <c r="J30" s="322"/>
      <c r="K30" s="322"/>
      <c r="L30" s="322"/>
      <c r="M30" s="323"/>
    </row>
    <row r="31" spans="1:13" ht="14.1" customHeight="1">
      <c r="A31" s="192" t="s">
        <v>42</v>
      </c>
      <c r="B31" s="68"/>
      <c r="C31" s="147"/>
      <c r="D31" s="324">
        <f>SUM($D$27:D27)*$B$30</f>
        <v>0</v>
      </c>
      <c r="E31" s="325">
        <f>SUM($D$27:E27)*$B$30</f>
        <v>0</v>
      </c>
      <c r="F31" s="326">
        <f>SUM($D$27:F27)*$B$30</f>
        <v>0</v>
      </c>
      <c r="G31" s="324">
        <f>SUM($D$27:G27)*$B$30</f>
        <v>0</v>
      </c>
      <c r="H31" s="325">
        <f>SUM($D$27:H27)*$B$30</f>
        <v>0</v>
      </c>
      <c r="I31" s="326">
        <f>SUM($D$27:I27)*$B$30</f>
        <v>0</v>
      </c>
      <c r="J31" s="325">
        <f>SUM($D$27:J27)*$B$30</f>
        <v>0</v>
      </c>
      <c r="K31" s="325">
        <f>SUM($D$27:K27)*$B$30</f>
        <v>200000</v>
      </c>
      <c r="L31" s="325">
        <f>SUM($D$27:L27)*$B$30</f>
        <v>226000</v>
      </c>
      <c r="M31" s="326">
        <f>SUM($D$27:M27)*$B$30</f>
        <v>226000</v>
      </c>
    </row>
    <row r="32" spans="1:13" ht="14.1" customHeight="1" thickBot="1">
      <c r="A32" s="150" t="s">
        <v>126</v>
      </c>
      <c r="B32" s="71"/>
      <c r="C32" s="380">
        <f>C23</f>
        <v>463.61329999999998</v>
      </c>
      <c r="D32" s="320">
        <f t="shared" ref="D32:M32" si="4">D23</f>
        <v>477.52169900000001</v>
      </c>
      <c r="E32" s="307">
        <f t="shared" si="4"/>
        <v>491.84734996999998</v>
      </c>
      <c r="F32" s="308">
        <f t="shared" si="4"/>
        <v>506.60277046909999</v>
      </c>
      <c r="G32" s="320">
        <f t="shared" si="4"/>
        <v>521.80085358317297</v>
      </c>
      <c r="H32" s="307">
        <f t="shared" si="4"/>
        <v>537.45487919066807</v>
      </c>
      <c r="I32" s="308">
        <f t="shared" si="4"/>
        <v>553.57852556638818</v>
      </c>
      <c r="J32" s="307">
        <f t="shared" si="4"/>
        <v>570.18588133337983</v>
      </c>
      <c r="K32" s="307">
        <f t="shared" si="4"/>
        <v>587.29145777338113</v>
      </c>
      <c r="L32" s="307">
        <f t="shared" si="4"/>
        <v>604.91020150658267</v>
      </c>
      <c r="M32" s="308">
        <f t="shared" si="4"/>
        <v>623.05750755178008</v>
      </c>
    </row>
    <row r="33" spans="1:13" ht="13.5" thickBot="1">
      <c r="A33" s="217" t="s">
        <v>0</v>
      </c>
      <c r="B33" s="214"/>
      <c r="C33" s="223"/>
      <c r="D33" s="264"/>
      <c r="E33" s="220"/>
      <c r="F33" s="221"/>
      <c r="G33" s="264"/>
      <c r="H33" s="220"/>
      <c r="I33" s="221"/>
      <c r="J33" s="220"/>
      <c r="K33" s="220"/>
      <c r="L33" s="220"/>
      <c r="M33" s="221"/>
    </row>
    <row r="34" spans="1:13" ht="14.1" customHeight="1">
      <c r="A34" s="192" t="s">
        <v>16</v>
      </c>
      <c r="B34" s="68"/>
      <c r="C34" s="154">
        <f>SUM(C19,C28,C10)*$B$21*C23</f>
        <v>0</v>
      </c>
      <c r="D34" s="284">
        <f t="shared" ref="D34:M34" si="5">SUM(D19,D28,D10)*$B$21*D23</f>
        <v>0</v>
      </c>
      <c r="E34" s="249">
        <f t="shared" si="5"/>
        <v>39597515.292091437</v>
      </c>
      <c r="F34" s="253">
        <f t="shared" si="5"/>
        <v>40785440.750854179</v>
      </c>
      <c r="G34" s="284">
        <f t="shared" si="5"/>
        <v>42009003.973379806</v>
      </c>
      <c r="H34" s="249">
        <f t="shared" si="5"/>
        <v>29560018.355486743</v>
      </c>
      <c r="I34" s="253">
        <f t="shared" si="5"/>
        <v>30446818.906151351</v>
      </c>
      <c r="J34" s="249">
        <f t="shared" si="5"/>
        <v>31662593.04620697</v>
      </c>
      <c r="K34" s="249">
        <f t="shared" si="5"/>
        <v>0</v>
      </c>
      <c r="L34" s="249">
        <f t="shared" si="5"/>
        <v>68354852.770243838</v>
      </c>
      <c r="M34" s="249">
        <f t="shared" si="5"/>
        <v>70405498.353351146</v>
      </c>
    </row>
    <row r="35" spans="1:13" ht="14.1" customHeight="1">
      <c r="A35" s="192" t="s">
        <v>43</v>
      </c>
      <c r="B35" s="119">
        <f>D58</f>
        <v>0.05</v>
      </c>
      <c r="C35" s="155">
        <f>C34*-$B$35</f>
        <v>0</v>
      </c>
      <c r="D35" s="271">
        <f t="shared" ref="D35:M35" si="6">D34*-$B$35</f>
        <v>0</v>
      </c>
      <c r="E35" s="250">
        <f t="shared" si="6"/>
        <v>-1979875.764604572</v>
      </c>
      <c r="F35" s="272">
        <f t="shared" si="6"/>
        <v>-2039272.0375427091</v>
      </c>
      <c r="G35" s="271">
        <f t="shared" si="6"/>
        <v>-2100450.1986689903</v>
      </c>
      <c r="H35" s="250">
        <f t="shared" si="6"/>
        <v>-1478000.9177743373</v>
      </c>
      <c r="I35" s="272">
        <f t="shared" si="6"/>
        <v>-1522340.9453075677</v>
      </c>
      <c r="J35" s="250">
        <f t="shared" si="6"/>
        <v>-1583129.6523103486</v>
      </c>
      <c r="K35" s="250">
        <f t="shared" si="6"/>
        <v>0</v>
      </c>
      <c r="L35" s="250">
        <f t="shared" si="6"/>
        <v>-3417742.6385121923</v>
      </c>
      <c r="M35" s="272">
        <f t="shared" si="6"/>
        <v>-3520274.9176675575</v>
      </c>
    </row>
    <row r="36" spans="1:13" ht="14.1" customHeight="1">
      <c r="A36" s="254" t="s">
        <v>44</v>
      </c>
      <c r="B36" s="120">
        <f>D59</f>
        <v>0.05</v>
      </c>
      <c r="C36" s="285">
        <f>C34*-$B$36</f>
        <v>0</v>
      </c>
      <c r="D36" s="286">
        <f>D34*-$B$36</f>
        <v>0</v>
      </c>
      <c r="E36" s="252">
        <f t="shared" ref="E36:M36" si="7">E34*-$B$36</f>
        <v>-1979875.764604572</v>
      </c>
      <c r="F36" s="255">
        <f t="shared" si="7"/>
        <v>-2039272.0375427091</v>
      </c>
      <c r="G36" s="286">
        <f t="shared" si="7"/>
        <v>-2100450.1986689903</v>
      </c>
      <c r="H36" s="252">
        <f t="shared" si="7"/>
        <v>-1478000.9177743373</v>
      </c>
      <c r="I36" s="255">
        <f t="shared" si="7"/>
        <v>-1522340.9453075677</v>
      </c>
      <c r="J36" s="252">
        <f t="shared" si="7"/>
        <v>-1583129.6523103486</v>
      </c>
      <c r="K36" s="252">
        <f t="shared" si="7"/>
        <v>0</v>
      </c>
      <c r="L36" s="252">
        <f t="shared" si="7"/>
        <v>-3417742.6385121923</v>
      </c>
      <c r="M36" s="255">
        <f t="shared" si="7"/>
        <v>-3520274.9176675575</v>
      </c>
    </row>
    <row r="37" spans="1:13" ht="14.1" customHeight="1" thickBot="1">
      <c r="A37" s="126" t="s">
        <v>5</v>
      </c>
      <c r="B37" s="71"/>
      <c r="C37" s="281">
        <f>SUM(C34:C36)</f>
        <v>0</v>
      </c>
      <c r="D37" s="282">
        <f t="shared" ref="D37:M37" si="8">SUM(D34:D36)</f>
        <v>0</v>
      </c>
      <c r="E37" s="256">
        <f t="shared" si="8"/>
        <v>35637763.7628823</v>
      </c>
      <c r="F37" s="257">
        <f t="shared" si="8"/>
        <v>36706896.675768763</v>
      </c>
      <c r="G37" s="282">
        <f t="shared" si="8"/>
        <v>37808103.576041833</v>
      </c>
      <c r="H37" s="256">
        <f t="shared" si="8"/>
        <v>26604016.519938067</v>
      </c>
      <c r="I37" s="257">
        <f t="shared" si="8"/>
        <v>27402137.015536215</v>
      </c>
      <c r="J37" s="256">
        <f t="shared" si="8"/>
        <v>28496333.741586272</v>
      </c>
      <c r="K37" s="256">
        <f t="shared" si="8"/>
        <v>0</v>
      </c>
      <c r="L37" s="256">
        <f t="shared" si="8"/>
        <v>61519367.49321945</v>
      </c>
      <c r="M37" s="257">
        <f t="shared" si="8"/>
        <v>63364948.518016025</v>
      </c>
    </row>
    <row r="38" spans="1:13" ht="13.5" thickBot="1">
      <c r="A38" s="217" t="s">
        <v>2</v>
      </c>
      <c r="B38" s="328"/>
      <c r="C38" s="223"/>
      <c r="D38" s="264"/>
      <c r="E38" s="220"/>
      <c r="F38" s="221"/>
      <c r="G38" s="264"/>
      <c r="H38" s="220"/>
      <c r="I38" s="221"/>
      <c r="J38" s="220"/>
      <c r="K38" s="220"/>
      <c r="L38" s="220"/>
      <c r="M38" s="221"/>
    </row>
    <row r="39" spans="1:13" s="39" customFormat="1">
      <c r="A39" s="192" t="s">
        <v>118</v>
      </c>
      <c r="B39" s="200"/>
      <c r="C39" s="841">
        <f>'Summary Board'!F97</f>
        <v>240.62200000000001</v>
      </c>
      <c r="D39" s="231">
        <f t="shared" ref="D39:M39" si="9">$C$39*(1+$B$17)^D4</f>
        <v>247.84066000000001</v>
      </c>
      <c r="E39" s="218">
        <f t="shared" si="9"/>
        <v>255.27587980000001</v>
      </c>
      <c r="F39" s="219">
        <f t="shared" si="9"/>
        <v>262.93415619400002</v>
      </c>
      <c r="G39" s="231">
        <f t="shared" si="9"/>
        <v>270.82218087982</v>
      </c>
      <c r="H39" s="218">
        <f t="shared" si="9"/>
        <v>278.94684630621458</v>
      </c>
      <c r="I39" s="219">
        <f t="shared" si="9"/>
        <v>287.31525169540106</v>
      </c>
      <c r="J39" s="218">
        <f t="shared" si="9"/>
        <v>295.93470924626308</v>
      </c>
      <c r="K39" s="218">
        <f t="shared" si="9"/>
        <v>304.81275052365095</v>
      </c>
      <c r="L39" s="218">
        <f t="shared" si="9"/>
        <v>313.95713303936049</v>
      </c>
      <c r="M39" s="219">
        <f t="shared" si="9"/>
        <v>323.37584703054131</v>
      </c>
    </row>
    <row r="40" spans="1:13" ht="14.1" customHeight="1">
      <c r="A40" s="192" t="s">
        <v>13</v>
      </c>
      <c r="B40" s="200"/>
      <c r="C40" s="277">
        <f>C41/SUM($C$41:$M$41)</f>
        <v>0</v>
      </c>
      <c r="D40" s="278">
        <f t="shared" ref="D40:M40" si="10">D41/SUM($C$41:$M$41)</f>
        <v>0.34098112609187664</v>
      </c>
      <c r="E40" s="205">
        <f t="shared" si="10"/>
        <v>0</v>
      </c>
      <c r="F40" s="261">
        <f t="shared" si="10"/>
        <v>0</v>
      </c>
      <c r="G40" s="278">
        <f t="shared" si="10"/>
        <v>5.6887796945869146E-3</v>
      </c>
      <c r="H40" s="205">
        <f t="shared" si="10"/>
        <v>0.17242062498762359</v>
      </c>
      <c r="I40" s="261">
        <f t="shared" si="10"/>
        <v>8.7287815274129349E-2</v>
      </c>
      <c r="J40" s="205">
        <f t="shared" si="10"/>
        <v>0</v>
      </c>
      <c r="K40" s="205">
        <f t="shared" si="10"/>
        <v>0.34726583250266746</v>
      </c>
      <c r="L40" s="205">
        <f t="shared" si="10"/>
        <v>4.6355821449116076E-2</v>
      </c>
      <c r="M40" s="261">
        <f t="shared" si="10"/>
        <v>0</v>
      </c>
    </row>
    <row r="41" spans="1:13" ht="14.1" customHeight="1">
      <c r="A41" s="192" t="s">
        <v>2</v>
      </c>
      <c r="B41" s="200"/>
      <c r="C41" s="176">
        <f>C39*'Development Schedule'!D80</f>
        <v>0</v>
      </c>
      <c r="D41" s="331">
        <f>D39*'Development Schedule'!E80</f>
        <v>59859269.293312006</v>
      </c>
      <c r="E41" s="332">
        <f>E39*'Development Schedule'!F80</f>
        <v>0</v>
      </c>
      <c r="F41" s="333">
        <f>F39*'Development Schedule'!G80</f>
        <v>0</v>
      </c>
      <c r="G41" s="331">
        <f>G39*'Development Schedule'!H80</f>
        <v>998665.81940036558</v>
      </c>
      <c r="H41" s="332">
        <f>H39*'Development Schedule'!I80</f>
        <v>30268457.205089871</v>
      </c>
      <c r="I41" s="333">
        <f>I39*'Development Schedule'!J80</f>
        <v>15323384.318670824</v>
      </c>
      <c r="J41" s="332">
        <f>J39*'Development Schedule'!K80</f>
        <v>0</v>
      </c>
      <c r="K41" s="332">
        <f>K39*'Development Schedule'!L80</f>
        <v>60962550.104730189</v>
      </c>
      <c r="L41" s="332">
        <f>L39*'Development Schedule'!M80</f>
        <v>8137768.8883802239</v>
      </c>
      <c r="M41" s="333">
        <f>M39*'Development Schedule'!N80</f>
        <v>0</v>
      </c>
    </row>
    <row r="42" spans="1:13" ht="14.1" customHeight="1">
      <c r="A42" s="254" t="s">
        <v>14</v>
      </c>
      <c r="B42" s="329"/>
      <c r="C42" s="184"/>
      <c r="D42" s="280"/>
      <c r="E42" s="260"/>
      <c r="F42" s="263"/>
      <c r="G42" s="280"/>
      <c r="H42" s="260"/>
      <c r="I42" s="263"/>
      <c r="J42" s="260"/>
      <c r="K42" s="260"/>
      <c r="L42" s="260"/>
      <c r="M42" s="263"/>
    </row>
    <row r="43" spans="1:13" ht="14.1" customHeight="1" thickBot="1">
      <c r="A43" s="126" t="s">
        <v>3</v>
      </c>
      <c r="B43" s="330"/>
      <c r="C43" s="281">
        <f>SUM(C41:C42)</f>
        <v>0</v>
      </c>
      <c r="D43" s="337">
        <f t="shared" ref="D43:M43" si="11">SUM(D41:D42)</f>
        <v>59859269.293312006</v>
      </c>
      <c r="E43" s="338">
        <f t="shared" si="11"/>
        <v>0</v>
      </c>
      <c r="F43" s="339">
        <f t="shared" si="11"/>
        <v>0</v>
      </c>
      <c r="G43" s="337">
        <f t="shared" si="11"/>
        <v>998665.81940036558</v>
      </c>
      <c r="H43" s="338">
        <f t="shared" si="11"/>
        <v>30268457.205089871</v>
      </c>
      <c r="I43" s="339">
        <f t="shared" si="11"/>
        <v>15323384.318670824</v>
      </c>
      <c r="J43" s="338">
        <f t="shared" si="11"/>
        <v>0</v>
      </c>
      <c r="K43" s="338">
        <f t="shared" si="11"/>
        <v>60962550.104730189</v>
      </c>
      <c r="L43" s="338">
        <f t="shared" si="11"/>
        <v>8137768.8883802239</v>
      </c>
      <c r="M43" s="339">
        <f t="shared" si="11"/>
        <v>0</v>
      </c>
    </row>
    <row r="44" spans="1:13" ht="13.5" thickBot="1">
      <c r="A44" s="217" t="s">
        <v>4</v>
      </c>
      <c r="B44" s="214"/>
      <c r="C44" s="340"/>
      <c r="D44" s="341"/>
      <c r="E44" s="342"/>
      <c r="F44" s="343"/>
      <c r="G44" s="341"/>
      <c r="H44" s="342"/>
      <c r="I44" s="343"/>
      <c r="J44" s="342"/>
      <c r="K44" s="342"/>
      <c r="L44" s="342"/>
      <c r="M44" s="343"/>
    </row>
    <row r="45" spans="1:13" ht="14.1" customHeight="1">
      <c r="A45" s="192" t="s">
        <v>5</v>
      </c>
      <c r="B45" s="68"/>
      <c r="C45" s="154">
        <f>C37</f>
        <v>0</v>
      </c>
      <c r="D45" s="279">
        <f t="shared" ref="D45:L45" si="12">D37</f>
        <v>0</v>
      </c>
      <c r="E45" s="248">
        <f t="shared" si="12"/>
        <v>35637763.7628823</v>
      </c>
      <c r="F45" s="262">
        <f t="shared" si="12"/>
        <v>36706896.675768763</v>
      </c>
      <c r="G45" s="279">
        <f t="shared" si="12"/>
        <v>37808103.576041833</v>
      </c>
      <c r="H45" s="248">
        <f t="shared" si="12"/>
        <v>26604016.519938067</v>
      </c>
      <c r="I45" s="262">
        <f t="shared" si="12"/>
        <v>27402137.015536215</v>
      </c>
      <c r="J45" s="248">
        <f t="shared" si="12"/>
        <v>28496333.741586272</v>
      </c>
      <c r="K45" s="248">
        <f t="shared" si="12"/>
        <v>0</v>
      </c>
      <c r="L45" s="248">
        <f t="shared" si="12"/>
        <v>61519367.49321945</v>
      </c>
      <c r="M45" s="262">
        <f>M37</f>
        <v>63364948.518016025</v>
      </c>
    </row>
    <row r="46" spans="1:13" ht="14.1" customHeight="1">
      <c r="A46" s="254" t="s">
        <v>119</v>
      </c>
      <c r="B46" s="327"/>
      <c r="C46" s="285">
        <f>-C43</f>
        <v>0</v>
      </c>
      <c r="D46" s="286">
        <f t="shared" ref="D46:M46" si="13">-D43</f>
        <v>-59859269.293312006</v>
      </c>
      <c r="E46" s="252">
        <f t="shared" si="13"/>
        <v>0</v>
      </c>
      <c r="F46" s="255">
        <f t="shared" si="13"/>
        <v>0</v>
      </c>
      <c r="G46" s="286">
        <f t="shared" si="13"/>
        <v>-998665.81940036558</v>
      </c>
      <c r="H46" s="252">
        <f t="shared" si="13"/>
        <v>-30268457.205089871</v>
      </c>
      <c r="I46" s="255">
        <f t="shared" si="13"/>
        <v>-15323384.318670824</v>
      </c>
      <c r="J46" s="252">
        <f t="shared" si="13"/>
        <v>0</v>
      </c>
      <c r="K46" s="252">
        <f t="shared" si="13"/>
        <v>-60962550.104730189</v>
      </c>
      <c r="L46" s="252">
        <f t="shared" si="13"/>
        <v>-8137768.8883802239</v>
      </c>
      <c r="M46" s="255">
        <f t="shared" si="13"/>
        <v>0</v>
      </c>
    </row>
    <row r="47" spans="1:13" ht="14.1" customHeight="1" thickBot="1">
      <c r="A47" s="295" t="s">
        <v>6</v>
      </c>
      <c r="B47" s="128"/>
      <c r="C47" s="281">
        <f>SUM(C45:C46)</f>
        <v>0</v>
      </c>
      <c r="D47" s="282">
        <f t="shared" ref="D47:M47" si="14">SUM(D45:D46)</f>
        <v>-59859269.293312006</v>
      </c>
      <c r="E47" s="256">
        <f t="shared" si="14"/>
        <v>35637763.7628823</v>
      </c>
      <c r="F47" s="257">
        <f t="shared" si="14"/>
        <v>36706896.675768763</v>
      </c>
      <c r="G47" s="282">
        <f t="shared" si="14"/>
        <v>36809437.75664147</v>
      </c>
      <c r="H47" s="256">
        <f t="shared" si="14"/>
        <v>-3664440.6851518042</v>
      </c>
      <c r="I47" s="257">
        <f t="shared" si="14"/>
        <v>12078752.696865391</v>
      </c>
      <c r="J47" s="256">
        <f t="shared" si="14"/>
        <v>28496333.741586272</v>
      </c>
      <c r="K47" s="256">
        <f t="shared" si="14"/>
        <v>-60962550.104730189</v>
      </c>
      <c r="L47" s="256">
        <f t="shared" si="14"/>
        <v>53381598.604839228</v>
      </c>
      <c r="M47" s="257">
        <f t="shared" si="14"/>
        <v>63364948.518016025</v>
      </c>
    </row>
    <row r="48" spans="1:13" ht="13.5" thickBot="1">
      <c r="A48" s="125" t="s">
        <v>27</v>
      </c>
      <c r="B48" s="116"/>
      <c r="C48" s="288">
        <f>C47+NPV(D60,D47:M47)</f>
        <v>70658387.575550646</v>
      </c>
      <c r="D48" s="229"/>
      <c r="E48" s="118"/>
      <c r="F48" s="207"/>
      <c r="G48" s="229"/>
      <c r="H48" s="118"/>
      <c r="I48" s="207"/>
      <c r="J48" s="118"/>
      <c r="K48" s="118"/>
      <c r="L48" s="118"/>
      <c r="M48" s="207"/>
    </row>
    <row r="49" spans="1:13" ht="13.5" thickBot="1">
      <c r="A49" s="91" t="s">
        <v>62</v>
      </c>
      <c r="B49" s="169"/>
      <c r="C49" s="292">
        <f>IRR(C47:M47,0)</f>
        <v>0.43713646946468665</v>
      </c>
      <c r="D49" s="273"/>
      <c r="E49" s="169"/>
      <c r="F49" s="191"/>
      <c r="G49" s="273"/>
      <c r="H49" s="169"/>
      <c r="I49" s="191"/>
      <c r="J49" s="169"/>
      <c r="K49" s="169"/>
      <c r="L49" s="169"/>
      <c r="M49" s="191"/>
    </row>
    <row r="50" spans="1:13" ht="13.5" thickBot="1">
      <c r="A50" s="39"/>
      <c r="B50" s="61"/>
      <c r="C50" s="61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3.5" thickBot="1">
      <c r="A51" s="202" t="s">
        <v>110</v>
      </c>
      <c r="B51" s="175"/>
      <c r="C51" s="175"/>
      <c r="D51" s="201"/>
      <c r="E51" s="39"/>
      <c r="F51" s="39"/>
      <c r="G51" s="39"/>
      <c r="H51" s="39"/>
      <c r="I51" s="39"/>
      <c r="J51" s="39"/>
      <c r="K51" s="39"/>
      <c r="L51" s="39"/>
      <c r="M51" s="39"/>
    </row>
    <row r="52" spans="1:13" ht="13.5" thickBot="1">
      <c r="A52" s="89"/>
      <c r="B52" s="169"/>
      <c r="C52" s="94" t="s">
        <v>108</v>
      </c>
      <c r="D52" s="95" t="s">
        <v>109</v>
      </c>
      <c r="E52" s="39"/>
      <c r="F52" s="39"/>
      <c r="G52" s="39"/>
      <c r="H52" s="39"/>
      <c r="I52" s="39"/>
      <c r="J52" s="39"/>
      <c r="K52" s="39"/>
      <c r="L52" s="39"/>
      <c r="M52" s="39"/>
    </row>
    <row r="53" spans="1:13">
      <c r="A53" s="67" t="s">
        <v>37</v>
      </c>
      <c r="B53" s="68"/>
      <c r="C53" s="301">
        <f>D53/$B$21</f>
        <v>241.5232</v>
      </c>
      <c r="D53" s="246">
        <f>'Development Schedule'!C12</f>
        <v>241523.20000000001</v>
      </c>
      <c r="E53" s="39"/>
      <c r="F53" s="39"/>
      <c r="G53" s="39"/>
      <c r="H53" s="39"/>
      <c r="I53" s="39"/>
      <c r="J53" s="39"/>
      <c r="K53" s="39"/>
      <c r="L53" s="39"/>
      <c r="M53" s="39"/>
    </row>
    <row r="54" spans="1:13">
      <c r="A54" s="67" t="s">
        <v>80</v>
      </c>
      <c r="B54" s="68"/>
      <c r="C54" s="301">
        <f>D54/$B$21</f>
        <v>165.53029999999998</v>
      </c>
      <c r="D54" s="246">
        <f>'Development Schedule'!C40+'Development Schedule'!C44</f>
        <v>165530.29999999999</v>
      </c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3.5" thickBot="1">
      <c r="A55" s="70" t="s">
        <v>81</v>
      </c>
      <c r="B55" s="71"/>
      <c r="C55" s="914">
        <f>D55/$B$30</f>
        <v>225.92</v>
      </c>
      <c r="D55" s="247">
        <f>'Development Schedule'!C63+'Development Schedule'!C66</f>
        <v>225920</v>
      </c>
      <c r="E55" s="39"/>
      <c r="F55" s="39"/>
      <c r="G55" s="39"/>
      <c r="H55" s="39"/>
      <c r="I55" s="39"/>
      <c r="J55" s="39"/>
      <c r="K55" s="39"/>
      <c r="L55" s="39"/>
      <c r="M55" s="39"/>
    </row>
    <row r="56" spans="1:13" ht="13.5" thickBot="1">
      <c r="A56" s="39"/>
      <c r="B56" s="61"/>
      <c r="C56" s="61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13.5" thickBot="1">
      <c r="A57" s="202" t="s">
        <v>120</v>
      </c>
      <c r="B57" s="275"/>
      <c r="C57" s="275"/>
      <c r="D57" s="276"/>
      <c r="E57" s="39"/>
      <c r="F57" s="39"/>
      <c r="G57" s="39"/>
      <c r="H57" s="39"/>
      <c r="I57" s="39"/>
      <c r="J57" s="39"/>
      <c r="K57" s="39"/>
      <c r="L57" s="39"/>
      <c r="M57" s="39"/>
    </row>
    <row r="58" spans="1:13">
      <c r="A58" s="67" t="s">
        <v>43</v>
      </c>
      <c r="B58" s="68"/>
      <c r="C58" s="68"/>
      <c r="D58" s="840">
        <v>0.05</v>
      </c>
      <c r="E58" s="39"/>
      <c r="F58" s="39"/>
      <c r="G58" s="39"/>
      <c r="H58" s="39"/>
      <c r="I58" s="39"/>
      <c r="J58" s="39"/>
      <c r="K58" s="39"/>
      <c r="L58" s="39"/>
      <c r="M58" s="39"/>
    </row>
    <row r="59" spans="1:13">
      <c r="A59" s="67" t="s">
        <v>44</v>
      </c>
      <c r="B59" s="68"/>
      <c r="C59" s="68"/>
      <c r="D59" s="840">
        <v>0.05</v>
      </c>
      <c r="E59" s="39"/>
      <c r="F59" s="39"/>
      <c r="G59" s="39"/>
      <c r="H59" s="39"/>
      <c r="I59" s="39"/>
      <c r="J59" s="39"/>
      <c r="K59" s="39"/>
      <c r="L59" s="39"/>
      <c r="M59" s="39"/>
    </row>
    <row r="60" spans="1:13" ht="13.5" thickBot="1">
      <c r="A60" s="70" t="s">
        <v>106</v>
      </c>
      <c r="B60" s="71"/>
      <c r="C60" s="71"/>
      <c r="D60" s="839">
        <v>0.09</v>
      </c>
      <c r="E60" s="39"/>
      <c r="F60" s="39"/>
      <c r="G60" s="39"/>
      <c r="H60" s="39"/>
      <c r="I60" s="39"/>
      <c r="J60" s="39"/>
      <c r="K60" s="39"/>
      <c r="L60" s="39"/>
      <c r="M60" s="39"/>
    </row>
    <row r="61" spans="1:13">
      <c r="A61" s="39"/>
      <c r="B61" s="61"/>
      <c r="C61" s="61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>
      <c r="A62" s="39"/>
      <c r="B62" s="61"/>
      <c r="C62" s="61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>
      <c r="A63" s="39"/>
      <c r="B63" s="61"/>
      <c r="C63" s="61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>
      <c r="A64" s="39"/>
      <c r="B64" s="61"/>
      <c r="C64" s="61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>
      <c r="A65" s="39"/>
      <c r="B65" s="61"/>
      <c r="C65" s="61"/>
      <c r="D65" s="39"/>
      <c r="E65" s="39"/>
      <c r="F65" s="39"/>
      <c r="G65" s="39"/>
      <c r="H65" s="39"/>
      <c r="I65" s="39"/>
      <c r="J65" s="39"/>
      <c r="K65" s="39"/>
      <c r="L65" s="39"/>
      <c r="M65" s="39"/>
    </row>
  </sheetData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topLeftCell="A51" zoomScaleNormal="100" zoomScaleSheetLayoutView="100" workbookViewId="0">
      <selection activeCell="C60" sqref="C58:C60"/>
    </sheetView>
  </sheetViews>
  <sheetFormatPr defaultColWidth="9.140625" defaultRowHeight="12.75"/>
  <cols>
    <col min="1" max="1" width="23.28515625" style="1" customWidth="1"/>
    <col min="2" max="2" width="12.7109375" style="2" customWidth="1"/>
    <col min="3" max="3" width="13.7109375" style="2" customWidth="1"/>
    <col min="4" max="13" width="13.7109375" style="1" customWidth="1"/>
    <col min="14" max="14" width="14" style="1" bestFit="1" customWidth="1"/>
    <col min="15" max="16384" width="9.140625" style="1"/>
  </cols>
  <sheetData>
    <row r="1" spans="1:13" ht="14.1" customHeight="1" thickBot="1">
      <c r="A1" s="296"/>
      <c r="B1" s="297"/>
      <c r="C1" s="297"/>
      <c r="D1" s="296"/>
      <c r="E1" s="296"/>
      <c r="F1" s="296"/>
      <c r="G1" s="296"/>
      <c r="H1" s="296"/>
      <c r="I1" s="296"/>
      <c r="J1" s="296"/>
      <c r="K1" s="296"/>
      <c r="L1" s="151" t="s">
        <v>107</v>
      </c>
      <c r="M1" s="351">
        <v>175175</v>
      </c>
    </row>
    <row r="2" spans="1:13" ht="14.1" customHeight="1" thickBot="1">
      <c r="A2" s="296"/>
      <c r="B2" s="297"/>
      <c r="C2" s="297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4.1" customHeight="1" thickBot="1">
      <c r="A3" s="139"/>
      <c r="B3" s="222"/>
      <c r="C3" s="145" t="s">
        <v>58</v>
      </c>
      <c r="D3" s="114" t="s">
        <v>37</v>
      </c>
      <c r="E3" s="115"/>
      <c r="F3" s="45"/>
      <c r="G3" s="114" t="s">
        <v>80</v>
      </c>
      <c r="H3" s="160"/>
      <c r="I3" s="46"/>
      <c r="J3" s="44" t="s">
        <v>81</v>
      </c>
      <c r="K3" s="44"/>
      <c r="L3" s="45"/>
      <c r="M3" s="46"/>
    </row>
    <row r="4" spans="1:13" ht="14.1" customHeight="1" thickBot="1">
      <c r="A4" s="67"/>
      <c r="B4" s="68"/>
      <c r="C4" s="153">
        <v>0</v>
      </c>
      <c r="D4" s="112">
        <f>C4+1</f>
        <v>1</v>
      </c>
      <c r="E4" s="111">
        <f t="shared" ref="E4:M5" si="0">D4+1</f>
        <v>2</v>
      </c>
      <c r="F4" s="111">
        <f t="shared" si="0"/>
        <v>3</v>
      </c>
      <c r="G4" s="112">
        <f t="shared" si="0"/>
        <v>4</v>
      </c>
      <c r="H4" s="152">
        <f t="shared" si="0"/>
        <v>5</v>
      </c>
      <c r="I4" s="113">
        <f t="shared" si="0"/>
        <v>6</v>
      </c>
      <c r="J4" s="111">
        <f t="shared" si="0"/>
        <v>7</v>
      </c>
      <c r="K4" s="111">
        <f t="shared" si="0"/>
        <v>8</v>
      </c>
      <c r="L4" s="111">
        <f t="shared" si="0"/>
        <v>9</v>
      </c>
      <c r="M4" s="113">
        <f t="shared" si="0"/>
        <v>10</v>
      </c>
    </row>
    <row r="5" spans="1:13" ht="14.1" customHeight="1" thickBot="1">
      <c r="A5" s="70"/>
      <c r="B5" s="152"/>
      <c r="C5" s="153" t="s">
        <v>311</v>
      </c>
      <c r="D5" s="300">
        <v>2019</v>
      </c>
      <c r="E5" s="111">
        <f>D5+1</f>
        <v>2020</v>
      </c>
      <c r="F5" s="111">
        <f t="shared" si="0"/>
        <v>2021</v>
      </c>
      <c r="G5" s="112">
        <f t="shared" si="0"/>
        <v>2022</v>
      </c>
      <c r="H5" s="111">
        <f t="shared" si="0"/>
        <v>2023</v>
      </c>
      <c r="I5" s="113">
        <f t="shared" si="0"/>
        <v>2024</v>
      </c>
      <c r="J5" s="111">
        <f t="shared" si="0"/>
        <v>2025</v>
      </c>
      <c r="K5" s="111">
        <f t="shared" si="0"/>
        <v>2026</v>
      </c>
      <c r="L5" s="111">
        <f>K5+1</f>
        <v>2027</v>
      </c>
      <c r="M5" s="113">
        <f>L5+1</f>
        <v>2028</v>
      </c>
    </row>
    <row r="6" spans="1:13" ht="13.5" thickBot="1">
      <c r="A6" s="217" t="s">
        <v>10</v>
      </c>
      <c r="B6" s="214"/>
      <c r="C6" s="223"/>
      <c r="D6" s="226"/>
      <c r="E6" s="215"/>
      <c r="F6" s="215"/>
      <c r="G6" s="226"/>
      <c r="H6" s="215"/>
      <c r="I6" s="216"/>
      <c r="J6" s="215"/>
      <c r="K6" s="215"/>
      <c r="L6" s="215"/>
      <c r="M6" s="216"/>
    </row>
    <row r="7" spans="1:13">
      <c r="A7" s="66" t="s">
        <v>111</v>
      </c>
      <c r="B7" s="68"/>
      <c r="C7" s="147"/>
      <c r="D7" s="67"/>
      <c r="E7" s="77"/>
      <c r="F7" s="77"/>
      <c r="G7" s="67"/>
      <c r="H7" s="77"/>
      <c r="I7" s="122"/>
      <c r="J7" s="77"/>
      <c r="K7" s="77"/>
      <c r="L7" s="77"/>
      <c r="M7" s="122"/>
    </row>
    <row r="8" spans="1:13">
      <c r="A8" s="192" t="s">
        <v>11</v>
      </c>
      <c r="B8" s="138">
        <v>0.03</v>
      </c>
      <c r="C8" s="355"/>
      <c r="D8" s="358"/>
      <c r="E8" s="299"/>
      <c r="F8" s="299"/>
      <c r="G8" s="358"/>
      <c r="H8" s="299"/>
      <c r="I8" s="353"/>
      <c r="J8" s="299"/>
      <c r="K8" s="299"/>
      <c r="L8" s="299"/>
      <c r="M8" s="353"/>
    </row>
    <row r="9" spans="1:13" ht="14.1" customHeight="1">
      <c r="A9" s="192" t="s">
        <v>112</v>
      </c>
      <c r="B9" s="138"/>
      <c r="C9" s="356"/>
      <c r="D9" s="374">
        <f>ROUND('Development Schedule'!E30/$B$12,0)</f>
        <v>0</v>
      </c>
      <c r="E9" s="372">
        <f>ROUND('Development Schedule'!F30/$B$12,0)</f>
        <v>10</v>
      </c>
      <c r="F9" s="372">
        <f>ROUND('Development Schedule'!G30/$B$12,0)</f>
        <v>5</v>
      </c>
      <c r="G9" s="374">
        <f>ROUND('Development Schedule'!H30/$B$12,0)</f>
        <v>0</v>
      </c>
      <c r="H9" s="372">
        <f>ROUND('Development Schedule'!I30/$B$12,0)</f>
        <v>0</v>
      </c>
      <c r="I9" s="373">
        <f>ROUND('Development Schedule'!J30/$B$12,0)</f>
        <v>0</v>
      </c>
      <c r="J9" s="372">
        <f>ROUND('Development Schedule'!K30/$B$12,0)</f>
        <v>0</v>
      </c>
      <c r="K9" s="372">
        <f>ROUND('Development Schedule'!L30/$B$12,0)</f>
        <v>0</v>
      </c>
      <c r="L9" s="372">
        <f>ROUND('Development Schedule'!M30/$B$12,0)</f>
        <v>0</v>
      </c>
      <c r="M9" s="373">
        <f>ROUND('Development Schedule'!N30/$B$12,0)</f>
        <v>0</v>
      </c>
    </row>
    <row r="10" spans="1:13" ht="14.1" customHeight="1">
      <c r="A10" s="192" t="s">
        <v>38</v>
      </c>
      <c r="B10" s="68"/>
      <c r="C10" s="356"/>
      <c r="D10" s="360">
        <f>ROUND(D15*$C$58,0)</f>
        <v>0</v>
      </c>
      <c r="E10" s="361">
        <f>E11-SUM($D$10:D10)</f>
        <v>5</v>
      </c>
      <c r="F10" s="361">
        <f>F11-SUM($D$10:E10)</f>
        <v>6</v>
      </c>
      <c r="G10" s="360">
        <f>G11-SUM($D$10:F10)</f>
        <v>4</v>
      </c>
      <c r="H10" s="361">
        <f>H11-SUM($D$10:G10)</f>
        <v>0</v>
      </c>
      <c r="I10" s="362">
        <f>I11-SUM($D$10:H10)</f>
        <v>0</v>
      </c>
      <c r="J10" s="361">
        <f>J11-SUM($D$10:I10)</f>
        <v>0</v>
      </c>
      <c r="K10" s="361">
        <f>K11-SUM($D$10:J10)</f>
        <v>0</v>
      </c>
      <c r="L10" s="361">
        <f>L11-SUM($D$10:K10)</f>
        <v>0</v>
      </c>
      <c r="M10" s="362">
        <f>M11-SUM($D$10:L10)</f>
        <v>0</v>
      </c>
    </row>
    <row r="11" spans="1:13" ht="14.1" customHeight="1">
      <c r="A11" s="192" t="s">
        <v>113</v>
      </c>
      <c r="B11" s="62"/>
      <c r="C11" s="356"/>
      <c r="D11" s="360">
        <f t="shared" ref="D11:M11" si="1">ROUND(D15*$C$58,0)</f>
        <v>0</v>
      </c>
      <c r="E11" s="361">
        <f t="shared" si="1"/>
        <v>5</v>
      </c>
      <c r="F11" s="361">
        <f t="shared" si="1"/>
        <v>11</v>
      </c>
      <c r="G11" s="360">
        <f t="shared" si="1"/>
        <v>15</v>
      </c>
      <c r="H11" s="361">
        <f t="shared" si="1"/>
        <v>15</v>
      </c>
      <c r="I11" s="362">
        <f t="shared" si="1"/>
        <v>15</v>
      </c>
      <c r="J11" s="361">
        <f t="shared" si="1"/>
        <v>15</v>
      </c>
      <c r="K11" s="361">
        <f t="shared" si="1"/>
        <v>15</v>
      </c>
      <c r="L11" s="361">
        <f t="shared" si="1"/>
        <v>15</v>
      </c>
      <c r="M11" s="362">
        <f t="shared" si="1"/>
        <v>15</v>
      </c>
    </row>
    <row r="12" spans="1:13" ht="14.1" customHeight="1">
      <c r="A12" s="192" t="s">
        <v>39</v>
      </c>
      <c r="B12" s="62">
        <v>1000</v>
      </c>
      <c r="C12" s="356"/>
      <c r="D12" s="359"/>
      <c r="E12" s="298"/>
      <c r="F12" s="298"/>
      <c r="G12" s="359"/>
      <c r="H12" s="298"/>
      <c r="I12" s="354"/>
      <c r="J12" s="298"/>
      <c r="K12" s="298"/>
      <c r="L12" s="298"/>
      <c r="M12" s="354"/>
    </row>
    <row r="13" spans="1:13" ht="14.1" customHeight="1">
      <c r="A13" s="192" t="s">
        <v>40</v>
      </c>
      <c r="B13" s="68"/>
      <c r="C13" s="356"/>
      <c r="D13" s="363">
        <f>SUM($D$9:D9)*$B$12</f>
        <v>0</v>
      </c>
      <c r="E13" s="364">
        <f>SUM($D$9:E9)*$B$12</f>
        <v>10000</v>
      </c>
      <c r="F13" s="364">
        <f>SUM($D$9:F9)*$B$12</f>
        <v>15000</v>
      </c>
      <c r="G13" s="363">
        <f>SUM($D$9:G9)*$B$12</f>
        <v>15000</v>
      </c>
      <c r="H13" s="364">
        <f>SUM($D$9:H9)*$B$12</f>
        <v>15000</v>
      </c>
      <c r="I13" s="365">
        <f>SUM($D$9:I9)*$B$12</f>
        <v>15000</v>
      </c>
      <c r="J13" s="364">
        <f>SUM($D$9:J9)*$B$12</f>
        <v>15000</v>
      </c>
      <c r="K13" s="364">
        <f>SUM($D$9:K9)*$B$12</f>
        <v>15000</v>
      </c>
      <c r="L13" s="364">
        <f>SUM($D$9:L9)*$B$12</f>
        <v>15000</v>
      </c>
      <c r="M13" s="365">
        <f>SUM($D$9:M9)*$B$12</f>
        <v>15000</v>
      </c>
    </row>
    <row r="14" spans="1:13" ht="14.1" customHeight="1">
      <c r="A14" s="192" t="s">
        <v>115</v>
      </c>
      <c r="B14" s="68"/>
      <c r="C14" s="921">
        <f>'Summary Board'!K102</f>
        <v>1.36</v>
      </c>
      <c r="D14" s="367">
        <f>$C$14*(1+$B$8)^D$4</f>
        <v>1.4008</v>
      </c>
      <c r="E14" s="368">
        <f t="shared" ref="E14:M14" si="2">$C$14*(1+$B$8)^E$4</f>
        <v>1.4428240000000001</v>
      </c>
      <c r="F14" s="368">
        <f t="shared" si="2"/>
        <v>1.48610872</v>
      </c>
      <c r="G14" s="367">
        <f t="shared" si="2"/>
        <v>1.5306919816</v>
      </c>
      <c r="H14" s="368">
        <f t="shared" si="2"/>
        <v>1.576612741048</v>
      </c>
      <c r="I14" s="369">
        <f t="shared" si="2"/>
        <v>1.6239111232794401</v>
      </c>
      <c r="J14" s="368">
        <f t="shared" si="2"/>
        <v>1.6726284569778234</v>
      </c>
      <c r="K14" s="368">
        <f t="shared" si="2"/>
        <v>1.7228073106871578</v>
      </c>
      <c r="L14" s="368">
        <f t="shared" si="2"/>
        <v>1.7744915300077726</v>
      </c>
      <c r="M14" s="369">
        <f t="shared" si="2"/>
        <v>1.8277262759080057</v>
      </c>
    </row>
    <row r="15" spans="1:13" ht="14.1" customHeight="1" thickBot="1">
      <c r="A15" s="150" t="s">
        <v>41</v>
      </c>
      <c r="B15" s="209"/>
      <c r="C15" s="357"/>
      <c r="D15" s="232">
        <v>0</v>
      </c>
      <c r="E15" s="210">
        <v>0.3</v>
      </c>
      <c r="F15" s="212">
        <v>0.75</v>
      </c>
      <c r="G15" s="236">
        <v>1</v>
      </c>
      <c r="H15" s="209">
        <f t="shared" ref="H15:M15" si="3">G15</f>
        <v>1</v>
      </c>
      <c r="I15" s="213">
        <f t="shared" si="3"/>
        <v>1</v>
      </c>
      <c r="J15" s="209">
        <f t="shared" si="3"/>
        <v>1</v>
      </c>
      <c r="K15" s="209">
        <f t="shared" si="3"/>
        <v>1</v>
      </c>
      <c r="L15" s="209">
        <f t="shared" si="3"/>
        <v>1</v>
      </c>
      <c r="M15" s="213">
        <f t="shared" si="3"/>
        <v>1</v>
      </c>
    </row>
    <row r="16" spans="1:13" ht="4.5" customHeight="1">
      <c r="A16" s="192"/>
      <c r="B16" s="119"/>
      <c r="C16" s="371"/>
      <c r="D16" s="370"/>
      <c r="E16" s="370"/>
      <c r="F16" s="138"/>
      <c r="G16" s="287"/>
      <c r="H16" s="119"/>
      <c r="I16" s="238"/>
      <c r="J16" s="119"/>
      <c r="K16" s="119"/>
      <c r="L16" s="119"/>
      <c r="M16" s="238"/>
    </row>
    <row r="17" spans="1:13">
      <c r="A17" s="66" t="s">
        <v>368</v>
      </c>
      <c r="B17" s="68"/>
      <c r="C17" s="147"/>
      <c r="D17" s="77"/>
      <c r="E17" s="77"/>
      <c r="F17" s="77"/>
      <c r="G17" s="67"/>
      <c r="H17" s="77"/>
      <c r="I17" s="122"/>
      <c r="J17" s="77"/>
      <c r="K17" s="77"/>
      <c r="L17" s="77"/>
      <c r="M17" s="122"/>
    </row>
    <row r="18" spans="1:13">
      <c r="A18" s="192" t="s">
        <v>11</v>
      </c>
      <c r="B18" s="138">
        <v>0.03</v>
      </c>
      <c r="C18" s="355"/>
      <c r="D18" s="299"/>
      <c r="E18" s="299"/>
      <c r="F18" s="299"/>
      <c r="G18" s="358"/>
      <c r="H18" s="299"/>
      <c r="I18" s="353"/>
      <c r="J18" s="299"/>
      <c r="K18" s="299"/>
      <c r="L18" s="299"/>
      <c r="M18" s="353"/>
    </row>
    <row r="19" spans="1:13" ht="14.1" customHeight="1">
      <c r="A19" s="192" t="s">
        <v>112</v>
      </c>
      <c r="B19" s="138"/>
      <c r="C19" s="356"/>
      <c r="D19" s="372">
        <f>ROUND(('Development Schedule'!E36+'Development Schedule'!E47)/$B$22,0)</f>
        <v>0</v>
      </c>
      <c r="E19" s="372">
        <f>ROUND(('Development Schedule'!F36+'Development Schedule'!F47)/$B$22,0)</f>
        <v>0</v>
      </c>
      <c r="F19" s="372">
        <f>ROUND(('Development Schedule'!G36+'Development Schedule'!G47)/$B$22,0)</f>
        <v>0</v>
      </c>
      <c r="G19" s="374">
        <f>ROUND(('Development Schedule'!H36+'Development Schedule'!H47)/$B$22,0)</f>
        <v>20</v>
      </c>
      <c r="H19" s="372">
        <f>ROUND(('Development Schedule'!I36+'Development Schedule'!I47)/$B$22,0)</f>
        <v>15</v>
      </c>
      <c r="I19" s="373">
        <f>ROUND(('Development Schedule'!J36+'Development Schedule'!J47)/$B$22,0)</f>
        <v>0</v>
      </c>
      <c r="J19" s="372">
        <f>ROUND(('Development Schedule'!K36+'Development Schedule'!K47)/$B$22,0)</f>
        <v>0</v>
      </c>
      <c r="K19" s="372">
        <f>ROUND(('Development Schedule'!L36+'Development Schedule'!L47)/$B$22,0)</f>
        <v>0</v>
      </c>
      <c r="L19" s="372">
        <f>ROUND(('Development Schedule'!M36+'Development Schedule'!M47)/$B$22,0)</f>
        <v>0</v>
      </c>
      <c r="M19" s="373">
        <f>ROUND(('Development Schedule'!N36+'Development Schedule'!N47)/$B$22,0)</f>
        <v>0</v>
      </c>
    </row>
    <row r="20" spans="1:13" ht="14.1" customHeight="1">
      <c r="A20" s="192" t="s">
        <v>38</v>
      </c>
      <c r="B20" s="68"/>
      <c r="C20" s="356"/>
      <c r="D20" s="361">
        <f>ROUND(D25*$C$59,0)</f>
        <v>0</v>
      </c>
      <c r="E20" s="361">
        <f>E21-SUM($D$20:D20)</f>
        <v>0</v>
      </c>
      <c r="F20" s="361">
        <f>F21-SUM($D$20:E20)</f>
        <v>0</v>
      </c>
      <c r="G20" s="360">
        <f>G21-SUM($D$20:F20)</f>
        <v>11</v>
      </c>
      <c r="H20" s="361">
        <f>H21-SUM($D$20:G20)</f>
        <v>15</v>
      </c>
      <c r="I20" s="362">
        <f>I21-SUM($D$20:H20)</f>
        <v>9</v>
      </c>
      <c r="J20" s="361">
        <f>J21-SUM($D$20:I20)</f>
        <v>0</v>
      </c>
      <c r="K20" s="361">
        <f>K21-SUM($D$20:J20)</f>
        <v>0</v>
      </c>
      <c r="L20" s="361">
        <f>L21-SUM($D$20:K20)</f>
        <v>0</v>
      </c>
      <c r="M20" s="362">
        <f>M21-SUM($D$20:L20)</f>
        <v>0</v>
      </c>
    </row>
    <row r="21" spans="1:13" ht="14.1" customHeight="1">
      <c r="A21" s="192" t="s">
        <v>113</v>
      </c>
      <c r="B21" s="62"/>
      <c r="C21" s="356"/>
      <c r="D21" s="361">
        <f t="shared" ref="D21:M21" si="4">ROUND(D25*$C$59,0)</f>
        <v>0</v>
      </c>
      <c r="E21" s="361">
        <f t="shared" si="4"/>
        <v>0</v>
      </c>
      <c r="F21" s="361">
        <f t="shared" si="4"/>
        <v>0</v>
      </c>
      <c r="G21" s="360">
        <f t="shared" si="4"/>
        <v>11</v>
      </c>
      <c r="H21" s="361">
        <f t="shared" si="4"/>
        <v>26</v>
      </c>
      <c r="I21" s="362">
        <f t="shared" si="4"/>
        <v>35</v>
      </c>
      <c r="J21" s="361">
        <f t="shared" si="4"/>
        <v>35</v>
      </c>
      <c r="K21" s="361">
        <f t="shared" si="4"/>
        <v>35</v>
      </c>
      <c r="L21" s="361">
        <f t="shared" si="4"/>
        <v>35</v>
      </c>
      <c r="M21" s="362">
        <f t="shared" si="4"/>
        <v>35</v>
      </c>
    </row>
    <row r="22" spans="1:13" ht="14.1" customHeight="1">
      <c r="A22" s="192" t="s">
        <v>39</v>
      </c>
      <c r="B22" s="62">
        <v>1000</v>
      </c>
      <c r="C22" s="356"/>
      <c r="D22" s="298"/>
      <c r="E22" s="298"/>
      <c r="F22" s="298"/>
      <c r="G22" s="359"/>
      <c r="H22" s="298"/>
      <c r="I22" s="354"/>
      <c r="J22" s="298"/>
      <c r="K22" s="298"/>
      <c r="L22" s="298"/>
      <c r="M22" s="354"/>
    </row>
    <row r="23" spans="1:13" ht="14.1" customHeight="1">
      <c r="A23" s="192" t="s">
        <v>40</v>
      </c>
      <c r="B23" s="68"/>
      <c r="C23" s="356"/>
      <c r="D23" s="364">
        <f>SUM($D$19:D19)*$B$22</f>
        <v>0</v>
      </c>
      <c r="E23" s="364">
        <f>SUM($D$19:E19)*$B$22</f>
        <v>0</v>
      </c>
      <c r="F23" s="364">
        <f>SUM($D$19:F19)*$B$22</f>
        <v>0</v>
      </c>
      <c r="G23" s="363">
        <f>SUM($D$19:G19)*$B$22</f>
        <v>20000</v>
      </c>
      <c r="H23" s="364">
        <f>SUM($D$19:H19)*$B$22</f>
        <v>35000</v>
      </c>
      <c r="I23" s="365">
        <f>SUM($D$19:I19)*$B$22</f>
        <v>35000</v>
      </c>
      <c r="J23" s="364">
        <f>SUM($D$19:J19)*$B$22</f>
        <v>35000</v>
      </c>
      <c r="K23" s="364">
        <f>SUM($D$19:K19)*$B$22</f>
        <v>35000</v>
      </c>
      <c r="L23" s="364">
        <f>SUM($D$19:L19)*$B$22</f>
        <v>35000</v>
      </c>
      <c r="M23" s="365">
        <f>SUM($D$19:M19)*$B$22</f>
        <v>35000</v>
      </c>
    </row>
    <row r="24" spans="1:13" ht="14.1" customHeight="1">
      <c r="A24" s="192" t="s">
        <v>115</v>
      </c>
      <c r="B24" s="68"/>
      <c r="C24" s="366">
        <f>C14</f>
        <v>1.36</v>
      </c>
      <c r="D24" s="368">
        <f t="shared" ref="D24:M24" si="5">D14</f>
        <v>1.4008</v>
      </c>
      <c r="E24" s="368">
        <f t="shared" si="5"/>
        <v>1.4428240000000001</v>
      </c>
      <c r="F24" s="368">
        <f t="shared" si="5"/>
        <v>1.48610872</v>
      </c>
      <c r="G24" s="367">
        <f t="shared" si="5"/>
        <v>1.5306919816</v>
      </c>
      <c r="H24" s="368">
        <f t="shared" si="5"/>
        <v>1.576612741048</v>
      </c>
      <c r="I24" s="369">
        <f t="shared" si="5"/>
        <v>1.6239111232794401</v>
      </c>
      <c r="J24" s="368">
        <f t="shared" si="5"/>
        <v>1.6726284569778234</v>
      </c>
      <c r="K24" s="368">
        <f t="shared" si="5"/>
        <v>1.7228073106871578</v>
      </c>
      <c r="L24" s="368">
        <f t="shared" si="5"/>
        <v>1.7744915300077726</v>
      </c>
      <c r="M24" s="369">
        <f t="shared" si="5"/>
        <v>1.8277262759080057</v>
      </c>
    </row>
    <row r="25" spans="1:13" ht="14.1" customHeight="1" thickBot="1">
      <c r="A25" s="150" t="s">
        <v>41</v>
      </c>
      <c r="B25" s="209"/>
      <c r="C25" s="357"/>
      <c r="D25" s="210">
        <v>0</v>
      </c>
      <c r="E25" s="211">
        <f>D25</f>
        <v>0</v>
      </c>
      <c r="F25" s="209">
        <f>E25</f>
        <v>0</v>
      </c>
      <c r="G25" s="236">
        <v>0.3</v>
      </c>
      <c r="H25" s="212">
        <v>0.75</v>
      </c>
      <c r="I25" s="233">
        <v>1</v>
      </c>
      <c r="J25" s="209">
        <f>I25</f>
        <v>1</v>
      </c>
      <c r="K25" s="209">
        <f>J25</f>
        <v>1</v>
      </c>
      <c r="L25" s="209">
        <f>K25</f>
        <v>1</v>
      </c>
      <c r="M25" s="213">
        <f>L25</f>
        <v>1</v>
      </c>
    </row>
    <row r="26" spans="1:13" ht="4.5" customHeight="1">
      <c r="A26" s="192"/>
      <c r="B26" s="119"/>
      <c r="C26" s="371"/>
      <c r="D26" s="370"/>
      <c r="E26" s="370"/>
      <c r="F26" s="138"/>
      <c r="G26" s="287"/>
      <c r="H26" s="119"/>
      <c r="I26" s="238"/>
      <c r="J26" s="119"/>
      <c r="K26" s="119"/>
      <c r="L26" s="119"/>
      <c r="M26" s="238"/>
    </row>
    <row r="27" spans="1:13">
      <c r="A27" s="66" t="s">
        <v>369</v>
      </c>
      <c r="B27" s="68"/>
      <c r="C27" s="147"/>
      <c r="D27" s="77"/>
      <c r="E27" s="77"/>
      <c r="F27" s="77"/>
      <c r="G27" s="67"/>
      <c r="H27" s="77"/>
      <c r="I27" s="122"/>
      <c r="J27" s="77"/>
      <c r="K27" s="77"/>
      <c r="L27" s="77"/>
      <c r="M27" s="122"/>
    </row>
    <row r="28" spans="1:13">
      <c r="A28" s="192" t="s">
        <v>11</v>
      </c>
      <c r="B28" s="138">
        <v>0.03</v>
      </c>
      <c r="C28" s="355"/>
      <c r="D28" s="299"/>
      <c r="E28" s="299"/>
      <c r="F28" s="299"/>
      <c r="G28" s="358"/>
      <c r="H28" s="299"/>
      <c r="I28" s="353"/>
      <c r="J28" s="299"/>
      <c r="K28" s="299"/>
      <c r="L28" s="299"/>
      <c r="M28" s="353"/>
    </row>
    <row r="29" spans="1:13" ht="14.1" customHeight="1">
      <c r="A29" s="192" t="s">
        <v>112</v>
      </c>
      <c r="B29" s="138"/>
      <c r="C29" s="356"/>
      <c r="D29" s="372">
        <f>ROUND(('Development Schedule'!E59+'Development Schedule'!E70)/$B$32,0)</f>
        <v>0</v>
      </c>
      <c r="E29" s="372">
        <f>ROUND(('Development Schedule'!F59+'Development Schedule'!F70)/$B$32,0)</f>
        <v>0</v>
      </c>
      <c r="F29" s="372">
        <f>ROUND(('Development Schedule'!G59+'Development Schedule'!G70)/$B$32,0)</f>
        <v>0</v>
      </c>
      <c r="G29" s="374">
        <f>ROUND(('Development Schedule'!H59+'Development Schedule'!H70)/$B$32,0)</f>
        <v>0</v>
      </c>
      <c r="H29" s="372">
        <f>ROUND(('Development Schedule'!I59+'Development Schedule'!I70)/$B$32,0)</f>
        <v>0</v>
      </c>
      <c r="I29" s="373">
        <f>ROUND(('Development Schedule'!J59+'Development Schedule'!J70)/$B$32,0)</f>
        <v>0</v>
      </c>
      <c r="J29" s="372">
        <f>ROUND(('Development Schedule'!K59+'Development Schedule'!K70)/$B$32,0)</f>
        <v>120</v>
      </c>
      <c r="K29" s="372">
        <f>ROUND(('Development Schedule'!L59+'Development Schedule'!L70)/$B$32,0)</f>
        <v>60</v>
      </c>
      <c r="L29" s="372">
        <f>ROUND(('Development Schedule'!M59+'Development Schedule'!M70)/$B$32,0)</f>
        <v>15</v>
      </c>
      <c r="M29" s="373">
        <f>ROUND(('Development Schedule'!N59+'Development Schedule'!N70)/$B$32,0)</f>
        <v>0</v>
      </c>
    </row>
    <row r="30" spans="1:13" ht="14.1" customHeight="1">
      <c r="A30" s="192" t="s">
        <v>38</v>
      </c>
      <c r="B30" s="68"/>
      <c r="C30" s="356"/>
      <c r="D30" s="361">
        <f>ROUND(D35*$C$60,0)</f>
        <v>0</v>
      </c>
      <c r="E30" s="361">
        <f>E31-SUM($D$30:D30)</f>
        <v>0</v>
      </c>
      <c r="F30" s="361">
        <f>F31-SUM($D$30:E30)</f>
        <v>0</v>
      </c>
      <c r="G30" s="360">
        <f>G31-SUM($D$30:F30)</f>
        <v>0</v>
      </c>
      <c r="H30" s="361">
        <f>H31-SUM($D$30:G30)</f>
        <v>58</v>
      </c>
      <c r="I30" s="362">
        <f>I31-SUM($D$30:H30)</f>
        <v>88</v>
      </c>
      <c r="J30" s="361">
        <f>J31-SUM($D$30:I30)</f>
        <v>49</v>
      </c>
      <c r="K30" s="361">
        <f>K31-SUM($D$30:J30)</f>
        <v>0</v>
      </c>
      <c r="L30" s="361">
        <f>L31-SUM($D$30:K30)</f>
        <v>0</v>
      </c>
      <c r="M30" s="362">
        <f>M31-SUM($D$30:L30)</f>
        <v>0</v>
      </c>
    </row>
    <row r="31" spans="1:13" ht="14.1" customHeight="1">
      <c r="A31" s="192" t="s">
        <v>113</v>
      </c>
      <c r="B31" s="62"/>
      <c r="C31" s="356"/>
      <c r="D31" s="361">
        <f t="shared" ref="D31:M31" si="6">ROUND(D35*$C$60,0)</f>
        <v>0</v>
      </c>
      <c r="E31" s="361">
        <f t="shared" si="6"/>
        <v>0</v>
      </c>
      <c r="F31" s="361">
        <f t="shared" si="6"/>
        <v>0</v>
      </c>
      <c r="G31" s="360">
        <f t="shared" si="6"/>
        <v>0</v>
      </c>
      <c r="H31" s="361">
        <f t="shared" si="6"/>
        <v>58</v>
      </c>
      <c r="I31" s="362">
        <f t="shared" si="6"/>
        <v>146</v>
      </c>
      <c r="J31" s="361">
        <f t="shared" si="6"/>
        <v>195</v>
      </c>
      <c r="K31" s="361">
        <f t="shared" si="6"/>
        <v>195</v>
      </c>
      <c r="L31" s="361">
        <f t="shared" si="6"/>
        <v>195</v>
      </c>
      <c r="M31" s="362">
        <f t="shared" si="6"/>
        <v>195</v>
      </c>
    </row>
    <row r="32" spans="1:13" ht="14.1" customHeight="1">
      <c r="A32" s="192" t="s">
        <v>39</v>
      </c>
      <c r="B32" s="62">
        <v>1000</v>
      </c>
      <c r="C32" s="356"/>
      <c r="D32" s="298"/>
      <c r="E32" s="298"/>
      <c r="F32" s="298"/>
      <c r="G32" s="359"/>
      <c r="H32" s="298"/>
      <c r="I32" s="354"/>
      <c r="J32" s="298"/>
      <c r="K32" s="298"/>
      <c r="L32" s="298"/>
      <c r="M32" s="354"/>
    </row>
    <row r="33" spans="1:14" ht="14.1" customHeight="1">
      <c r="A33" s="192" t="s">
        <v>40</v>
      </c>
      <c r="B33" s="68"/>
      <c r="C33" s="356"/>
      <c r="D33" s="364">
        <f>SUM($D$29:D29)*$B$32</f>
        <v>0</v>
      </c>
      <c r="E33" s="364">
        <f>SUM($D$29:E29)*$B$32</f>
        <v>0</v>
      </c>
      <c r="F33" s="364">
        <f>SUM($D$29:F29)*$B$32</f>
        <v>0</v>
      </c>
      <c r="G33" s="363">
        <f>SUM($D$29:G29)*$B$32</f>
        <v>0</v>
      </c>
      <c r="H33" s="364">
        <f>SUM($D$29:H29)*$B$32</f>
        <v>0</v>
      </c>
      <c r="I33" s="365">
        <f>SUM($D$29:I29)*$B$32</f>
        <v>0</v>
      </c>
      <c r="J33" s="364">
        <f>SUM($D$29:J29)*$B$32</f>
        <v>120000</v>
      </c>
      <c r="K33" s="364">
        <f>SUM($D$29:K29)*$B$32</f>
        <v>180000</v>
      </c>
      <c r="L33" s="364">
        <f>SUM($D$29:L29)*$B$32</f>
        <v>195000</v>
      </c>
      <c r="M33" s="365">
        <f>SUM($D$29:M29)*$B$32</f>
        <v>195000</v>
      </c>
    </row>
    <row r="34" spans="1:14" ht="14.1" customHeight="1">
      <c r="A34" s="192" t="s">
        <v>115</v>
      </c>
      <c r="B34" s="68"/>
      <c r="C34" s="366">
        <f>C24</f>
        <v>1.36</v>
      </c>
      <c r="D34" s="368">
        <f t="shared" ref="D34:M34" si="7">D24</f>
        <v>1.4008</v>
      </c>
      <c r="E34" s="368">
        <f t="shared" si="7"/>
        <v>1.4428240000000001</v>
      </c>
      <c r="F34" s="368">
        <f t="shared" si="7"/>
        <v>1.48610872</v>
      </c>
      <c r="G34" s="367">
        <f t="shared" si="7"/>
        <v>1.5306919816</v>
      </c>
      <c r="H34" s="368">
        <f t="shared" si="7"/>
        <v>1.576612741048</v>
      </c>
      <c r="I34" s="369">
        <f t="shared" si="7"/>
        <v>1.6239111232794401</v>
      </c>
      <c r="J34" s="368">
        <f t="shared" si="7"/>
        <v>1.6726284569778234</v>
      </c>
      <c r="K34" s="368">
        <f t="shared" si="7"/>
        <v>1.7228073106871578</v>
      </c>
      <c r="L34" s="368">
        <f t="shared" si="7"/>
        <v>1.7744915300077726</v>
      </c>
      <c r="M34" s="369">
        <f t="shared" si="7"/>
        <v>1.8277262759080057</v>
      </c>
    </row>
    <row r="35" spans="1:14" ht="13.5" customHeight="1" thickBot="1">
      <c r="A35" s="150" t="s">
        <v>41</v>
      </c>
      <c r="B35" s="209"/>
      <c r="C35" s="357"/>
      <c r="D35" s="210">
        <v>0</v>
      </c>
      <c r="E35" s="211">
        <f>D35</f>
        <v>0</v>
      </c>
      <c r="F35" s="209">
        <f>E35</f>
        <v>0</v>
      </c>
      <c r="G35" s="240">
        <f>F35</f>
        <v>0</v>
      </c>
      <c r="H35" s="212">
        <v>0.3</v>
      </c>
      <c r="I35" s="233">
        <v>0.75</v>
      </c>
      <c r="J35" s="212">
        <v>1</v>
      </c>
      <c r="K35" s="209">
        <f>J35</f>
        <v>1</v>
      </c>
      <c r="L35" s="209">
        <f>K35</f>
        <v>1</v>
      </c>
      <c r="M35" s="213">
        <f>L35</f>
        <v>1</v>
      </c>
    </row>
    <row r="36" spans="1:14" ht="4.5" customHeight="1" thickBot="1">
      <c r="A36" s="192"/>
      <c r="B36" s="119"/>
      <c r="C36" s="371"/>
      <c r="D36" s="370"/>
      <c r="E36" s="370"/>
      <c r="F36" s="138"/>
      <c r="G36" s="287"/>
      <c r="H36" s="119"/>
      <c r="I36" s="238"/>
      <c r="J36" s="119"/>
      <c r="K36" s="119"/>
      <c r="L36" s="119"/>
      <c r="M36" s="238"/>
    </row>
    <row r="37" spans="1:14" ht="13.5" thickBot="1">
      <c r="A37" s="217" t="s">
        <v>0</v>
      </c>
      <c r="B37" s="214"/>
      <c r="C37" s="223"/>
      <c r="D37" s="264"/>
      <c r="E37" s="220"/>
      <c r="F37" s="220"/>
      <c r="G37" s="264"/>
      <c r="H37" s="220"/>
      <c r="I37" s="221"/>
      <c r="J37" s="220"/>
      <c r="K37" s="220"/>
      <c r="L37" s="220"/>
      <c r="M37" s="221"/>
    </row>
    <row r="38" spans="1:14" ht="14.1" customHeight="1">
      <c r="A38" s="192" t="s">
        <v>12</v>
      </c>
      <c r="B38" s="68"/>
      <c r="C38" s="283">
        <v>0</v>
      </c>
      <c r="D38" s="266">
        <f>SUM(D11,D21,D31)*$B$12*D14*12</f>
        <v>0</v>
      </c>
      <c r="E38" s="267">
        <f>SUM(E11,E21,E31)*$B$12*E14*12</f>
        <v>86569.44</v>
      </c>
      <c r="F38" s="267">
        <f t="shared" ref="F38:M38" si="8">SUM(F11,F21,F31)*$B$12*F14*12</f>
        <v>196166.35104000001</v>
      </c>
      <c r="G38" s="266">
        <f t="shared" si="8"/>
        <v>477575.89825920004</v>
      </c>
      <c r="H38" s="267">
        <f t="shared" si="8"/>
        <v>1873015.9363650242</v>
      </c>
      <c r="I38" s="268">
        <f t="shared" si="8"/>
        <v>3819438.9619532428</v>
      </c>
      <c r="J38" s="249">
        <f t="shared" si="8"/>
        <v>4917527.6635148004</v>
      </c>
      <c r="K38" s="249">
        <f t="shared" si="8"/>
        <v>5065053.4934202442</v>
      </c>
      <c r="L38" s="249">
        <f t="shared" si="8"/>
        <v>5217005.0982228518</v>
      </c>
      <c r="M38" s="253">
        <f t="shared" si="8"/>
        <v>5373515.2511695363</v>
      </c>
      <c r="N38" s="387"/>
    </row>
    <row r="39" spans="1:14" ht="14.1" customHeight="1">
      <c r="A39" s="254" t="s">
        <v>117</v>
      </c>
      <c r="B39" s="836">
        <v>0.35</v>
      </c>
      <c r="C39" s="285">
        <f>C38*-$B$39</f>
        <v>0</v>
      </c>
      <c r="D39" s="286">
        <f>D38*-$B$39</f>
        <v>0</v>
      </c>
      <c r="E39" s="252">
        <f>E38*-$B$39</f>
        <v>-30299.304</v>
      </c>
      <c r="F39" s="252">
        <f t="shared" ref="F39:M39" si="9">F38*-$B$39</f>
        <v>-68658.222863999996</v>
      </c>
      <c r="G39" s="286">
        <f t="shared" si="9"/>
        <v>-167151.56439072001</v>
      </c>
      <c r="H39" s="252">
        <f t="shared" si="9"/>
        <v>-655555.57772775844</v>
      </c>
      <c r="I39" s="255">
        <f t="shared" si="9"/>
        <v>-1336803.6366836349</v>
      </c>
      <c r="J39" s="252">
        <f t="shared" si="9"/>
        <v>-1721134.6822301801</v>
      </c>
      <c r="K39" s="252">
        <f t="shared" si="9"/>
        <v>-1772768.7226970855</v>
      </c>
      <c r="L39" s="252">
        <f t="shared" si="9"/>
        <v>-1825951.784377998</v>
      </c>
      <c r="M39" s="255">
        <f t="shared" si="9"/>
        <v>-1880730.3379093376</v>
      </c>
    </row>
    <row r="40" spans="1:14" ht="14.1" customHeight="1" thickBot="1">
      <c r="A40" s="295" t="s">
        <v>5</v>
      </c>
      <c r="B40" s="71"/>
      <c r="C40" s="281">
        <f>SUM(C38:C39)</f>
        <v>0</v>
      </c>
      <c r="D40" s="282">
        <f>SUM(D38:D39)</f>
        <v>0</v>
      </c>
      <c r="E40" s="256">
        <f t="shared" ref="E40:M40" si="10">SUM(E38:E39)</f>
        <v>56270.135999999999</v>
      </c>
      <c r="F40" s="256">
        <f t="shared" si="10"/>
        <v>127508.12817600001</v>
      </c>
      <c r="G40" s="282">
        <f t="shared" si="10"/>
        <v>310424.33386848005</v>
      </c>
      <c r="H40" s="256">
        <f t="shared" si="10"/>
        <v>1217460.3586372659</v>
      </c>
      <c r="I40" s="257">
        <f t="shared" si="10"/>
        <v>2482635.3252696078</v>
      </c>
      <c r="J40" s="256">
        <f t="shared" si="10"/>
        <v>3196392.9812846202</v>
      </c>
      <c r="K40" s="256">
        <f t="shared" si="10"/>
        <v>3292284.7707231585</v>
      </c>
      <c r="L40" s="256">
        <f t="shared" si="10"/>
        <v>3391053.313844854</v>
      </c>
      <c r="M40" s="257">
        <f t="shared" si="10"/>
        <v>3492784.9132601987</v>
      </c>
    </row>
    <row r="41" spans="1:14" ht="13.5" thickBot="1">
      <c r="A41" s="217" t="s">
        <v>2</v>
      </c>
      <c r="B41" s="214"/>
      <c r="C41" s="223"/>
      <c r="D41" s="264"/>
      <c r="E41" s="220"/>
      <c r="F41" s="220"/>
      <c r="G41" s="264"/>
      <c r="H41" s="220"/>
      <c r="I41" s="221"/>
      <c r="J41" s="220"/>
      <c r="K41" s="220"/>
      <c r="L41" s="220"/>
      <c r="M41" s="221"/>
    </row>
    <row r="42" spans="1:14">
      <c r="A42" s="192" t="s">
        <v>118</v>
      </c>
      <c r="B42" s="68"/>
      <c r="C42" s="841">
        <f>'Summary Board'!F97</f>
        <v>240.62200000000001</v>
      </c>
      <c r="D42" s="231">
        <f t="shared" ref="D42:M42" si="11">$C$42*(1+$B$8)^D4</f>
        <v>247.84066000000001</v>
      </c>
      <c r="E42" s="218">
        <f t="shared" si="11"/>
        <v>255.27587980000001</v>
      </c>
      <c r="F42" s="218">
        <f t="shared" si="11"/>
        <v>262.93415619400002</v>
      </c>
      <c r="G42" s="231">
        <f t="shared" si="11"/>
        <v>270.82218087982</v>
      </c>
      <c r="H42" s="218">
        <f t="shared" si="11"/>
        <v>278.94684630621458</v>
      </c>
      <c r="I42" s="219">
        <f t="shared" si="11"/>
        <v>287.31525169540106</v>
      </c>
      <c r="J42" s="218">
        <f t="shared" si="11"/>
        <v>295.93470924626308</v>
      </c>
      <c r="K42" s="218">
        <f t="shared" si="11"/>
        <v>304.81275052365095</v>
      </c>
      <c r="L42" s="218">
        <f t="shared" si="11"/>
        <v>313.95713303936049</v>
      </c>
      <c r="M42" s="219">
        <f t="shared" si="11"/>
        <v>323.37584703054131</v>
      </c>
    </row>
    <row r="43" spans="1:14" ht="14.1" customHeight="1">
      <c r="A43" s="192" t="s">
        <v>13</v>
      </c>
      <c r="B43" s="68"/>
      <c r="C43" s="277">
        <f>C44/SUM($C$44:$M$44)</f>
        <v>0</v>
      </c>
      <c r="D43" s="278">
        <f t="shared" ref="D43:M43" si="12">D44/SUM($C$44:$M$44)</f>
        <v>0</v>
      </c>
      <c r="E43" s="205">
        <f t="shared" si="12"/>
        <v>3.5540205932076491E-2</v>
      </c>
      <c r="F43" s="205">
        <f t="shared" si="12"/>
        <v>1.8303206055019398E-2</v>
      </c>
      <c r="G43" s="278">
        <f t="shared" si="12"/>
        <v>7.5409208946679906E-2</v>
      </c>
      <c r="H43" s="205">
        <f t="shared" si="12"/>
        <v>5.8253613911310217E-2</v>
      </c>
      <c r="I43" s="261">
        <f t="shared" si="12"/>
        <v>0</v>
      </c>
      <c r="J43" s="205">
        <f t="shared" si="12"/>
        <v>0.49441007198807219</v>
      </c>
      <c r="K43" s="205">
        <f t="shared" si="12"/>
        <v>0.25462118707385717</v>
      </c>
      <c r="L43" s="205">
        <f t="shared" si="12"/>
        <v>6.3462506092984858E-2</v>
      </c>
      <c r="M43" s="261">
        <f t="shared" si="12"/>
        <v>0</v>
      </c>
    </row>
    <row r="44" spans="1:14" ht="14.1" customHeight="1">
      <c r="A44" s="192" t="s">
        <v>2</v>
      </c>
      <c r="B44" s="68"/>
      <c r="C44" s="176">
        <f>C42*'Development Schedule'!D79</f>
        <v>0</v>
      </c>
      <c r="D44" s="375">
        <f>D42*'Development Schedule'!E79</f>
        <v>0</v>
      </c>
      <c r="E44" s="376">
        <f>E42*'Development Schedule'!F79</f>
        <v>2552758.798</v>
      </c>
      <c r="F44" s="376">
        <f>F42*'Development Schedule'!G79</f>
        <v>1314670.7809700002</v>
      </c>
      <c r="G44" s="375">
        <f>G42*'Development Schedule'!H79</f>
        <v>5416443.6175964</v>
      </c>
      <c r="H44" s="376">
        <f>H42*'Development Schedule'!I79</f>
        <v>4184202.6945932186</v>
      </c>
      <c r="I44" s="377">
        <f>I42*'Development Schedule'!J79</f>
        <v>0</v>
      </c>
      <c r="J44" s="376">
        <f>J42*'Development Schedule'!K79</f>
        <v>35512165.109551571</v>
      </c>
      <c r="K44" s="376">
        <f>K42*'Development Schedule'!L79</f>
        <v>18288765.031419057</v>
      </c>
      <c r="L44" s="376">
        <f>L42*'Development Schedule'!M79</f>
        <v>4558343.6145984745</v>
      </c>
      <c r="M44" s="377">
        <f>M42*'Development Schedule'!N79</f>
        <v>0</v>
      </c>
    </row>
    <row r="45" spans="1:14" ht="14.1" customHeight="1">
      <c r="A45" s="866" t="s">
        <v>14</v>
      </c>
      <c r="B45" s="259"/>
      <c r="C45" s="184"/>
      <c r="D45" s="280"/>
      <c r="E45" s="260"/>
      <c r="F45" s="260"/>
      <c r="G45" s="280"/>
      <c r="H45" s="260"/>
      <c r="I45" s="263"/>
      <c r="J45" s="260"/>
      <c r="K45" s="260"/>
      <c r="L45" s="260"/>
      <c r="M45" s="263"/>
    </row>
    <row r="46" spans="1:14" ht="14.1" customHeight="1" thickBot="1">
      <c r="A46" s="295" t="s">
        <v>3</v>
      </c>
      <c r="B46" s="71"/>
      <c r="C46" s="281">
        <f>SUM(C44:C45)</f>
        <v>0</v>
      </c>
      <c r="D46" s="282">
        <f t="shared" ref="D46:M46" si="13">SUM(D44:D45)</f>
        <v>0</v>
      </c>
      <c r="E46" s="256">
        <f t="shared" si="13"/>
        <v>2552758.798</v>
      </c>
      <c r="F46" s="256">
        <f t="shared" si="13"/>
        <v>1314670.7809700002</v>
      </c>
      <c r="G46" s="282">
        <f t="shared" si="13"/>
        <v>5416443.6175964</v>
      </c>
      <c r="H46" s="256">
        <f t="shared" si="13"/>
        <v>4184202.6945932186</v>
      </c>
      <c r="I46" s="257">
        <f t="shared" si="13"/>
        <v>0</v>
      </c>
      <c r="J46" s="256">
        <f t="shared" si="13"/>
        <v>35512165.109551571</v>
      </c>
      <c r="K46" s="256">
        <f t="shared" si="13"/>
        <v>18288765.031419057</v>
      </c>
      <c r="L46" s="256">
        <f t="shared" si="13"/>
        <v>4558343.6145984745</v>
      </c>
      <c r="M46" s="257">
        <f t="shared" si="13"/>
        <v>0</v>
      </c>
    </row>
    <row r="47" spans="1:14" ht="13.5" thickBot="1">
      <c r="A47" s="217" t="s">
        <v>4</v>
      </c>
      <c r="B47" s="214"/>
      <c r="C47" s="223"/>
      <c r="D47" s="264"/>
      <c r="E47" s="220"/>
      <c r="F47" s="220"/>
      <c r="G47" s="264"/>
      <c r="H47" s="220"/>
      <c r="I47" s="221"/>
      <c r="J47" s="220"/>
      <c r="K47" s="220"/>
      <c r="L47" s="220"/>
      <c r="M47" s="221"/>
    </row>
    <row r="48" spans="1:14" ht="14.1" customHeight="1">
      <c r="A48" s="192" t="s">
        <v>5</v>
      </c>
      <c r="B48" s="68"/>
      <c r="C48" s="265">
        <f>C40</f>
        <v>0</v>
      </c>
      <c r="D48" s="266">
        <f t="shared" ref="D48:M48" si="14">D40</f>
        <v>0</v>
      </c>
      <c r="E48" s="267">
        <f t="shared" si="14"/>
        <v>56270.135999999999</v>
      </c>
      <c r="F48" s="267">
        <f t="shared" si="14"/>
        <v>127508.12817600001</v>
      </c>
      <c r="G48" s="266">
        <f t="shared" si="14"/>
        <v>310424.33386848005</v>
      </c>
      <c r="H48" s="267">
        <f t="shared" si="14"/>
        <v>1217460.3586372659</v>
      </c>
      <c r="I48" s="268">
        <f t="shared" si="14"/>
        <v>2482635.3252696078</v>
      </c>
      <c r="J48" s="249">
        <f t="shared" si="14"/>
        <v>3196392.9812846202</v>
      </c>
      <c r="K48" s="249">
        <f t="shared" si="14"/>
        <v>3292284.7707231585</v>
      </c>
      <c r="L48" s="249">
        <f t="shared" si="14"/>
        <v>3391053.313844854</v>
      </c>
      <c r="M48" s="253">
        <f t="shared" si="14"/>
        <v>3492784.9132601987</v>
      </c>
    </row>
    <row r="49" spans="1:13" ht="14.1" customHeight="1">
      <c r="A49" s="192" t="s">
        <v>60</v>
      </c>
      <c r="B49" s="119">
        <f>D63</f>
        <v>0.06</v>
      </c>
      <c r="C49" s="159">
        <v>0</v>
      </c>
      <c r="D49" s="269">
        <f>C49</f>
        <v>0</v>
      </c>
      <c r="E49" s="258">
        <f t="shared" ref="E49:L50" si="15">D49</f>
        <v>0</v>
      </c>
      <c r="F49" s="258">
        <f t="shared" si="15"/>
        <v>0</v>
      </c>
      <c r="G49" s="269">
        <f t="shared" si="15"/>
        <v>0</v>
      </c>
      <c r="H49" s="258">
        <f t="shared" si="15"/>
        <v>0</v>
      </c>
      <c r="I49" s="270">
        <f t="shared" si="15"/>
        <v>0</v>
      </c>
      <c r="J49" s="258">
        <f t="shared" si="15"/>
        <v>0</v>
      </c>
      <c r="K49" s="258">
        <f t="shared" si="15"/>
        <v>0</v>
      </c>
      <c r="L49" s="258">
        <f t="shared" si="15"/>
        <v>0</v>
      </c>
      <c r="M49" s="270">
        <f>M48/B49</f>
        <v>58213081.887669981</v>
      </c>
    </row>
    <row r="50" spans="1:13" ht="14.1" customHeight="1">
      <c r="A50" s="192" t="s">
        <v>61</v>
      </c>
      <c r="B50" s="119">
        <f>D64</f>
        <v>0.03</v>
      </c>
      <c r="C50" s="159">
        <v>0</v>
      </c>
      <c r="D50" s="269">
        <f>C50</f>
        <v>0</v>
      </c>
      <c r="E50" s="258">
        <f t="shared" si="15"/>
        <v>0</v>
      </c>
      <c r="F50" s="258">
        <f t="shared" si="15"/>
        <v>0</v>
      </c>
      <c r="G50" s="269">
        <f t="shared" si="15"/>
        <v>0</v>
      </c>
      <c r="H50" s="258">
        <f t="shared" si="15"/>
        <v>0</v>
      </c>
      <c r="I50" s="270">
        <f t="shared" si="15"/>
        <v>0</v>
      </c>
      <c r="J50" s="258">
        <f t="shared" si="15"/>
        <v>0</v>
      </c>
      <c r="K50" s="258">
        <f t="shared" si="15"/>
        <v>0</v>
      </c>
      <c r="L50" s="258">
        <f t="shared" si="15"/>
        <v>0</v>
      </c>
      <c r="M50" s="270">
        <f>M49*-B50</f>
        <v>-1746392.4566300993</v>
      </c>
    </row>
    <row r="51" spans="1:13" ht="14.1" customHeight="1">
      <c r="A51" s="254" t="s">
        <v>119</v>
      </c>
      <c r="B51" s="259"/>
      <c r="C51" s="285">
        <f>-C46</f>
        <v>0</v>
      </c>
      <c r="D51" s="286">
        <f t="shared" ref="D51:M51" si="16">-D46</f>
        <v>0</v>
      </c>
      <c r="E51" s="252">
        <f t="shared" si="16"/>
        <v>-2552758.798</v>
      </c>
      <c r="F51" s="252">
        <f t="shared" si="16"/>
        <v>-1314670.7809700002</v>
      </c>
      <c r="G51" s="286">
        <f t="shared" si="16"/>
        <v>-5416443.6175964</v>
      </c>
      <c r="H51" s="252">
        <f t="shared" si="16"/>
        <v>-4184202.6945932186</v>
      </c>
      <c r="I51" s="255">
        <f t="shared" si="16"/>
        <v>0</v>
      </c>
      <c r="J51" s="252">
        <f t="shared" si="16"/>
        <v>-35512165.109551571</v>
      </c>
      <c r="K51" s="252">
        <f t="shared" si="16"/>
        <v>-18288765.031419057</v>
      </c>
      <c r="L51" s="252">
        <f t="shared" si="16"/>
        <v>-4558343.6145984745</v>
      </c>
      <c r="M51" s="255">
        <f t="shared" si="16"/>
        <v>0</v>
      </c>
    </row>
    <row r="52" spans="1:13" ht="13.5" thickBot="1">
      <c r="A52" s="126" t="s">
        <v>6</v>
      </c>
      <c r="B52" s="71"/>
      <c r="C52" s="281">
        <f>SUM(C48:C51)</f>
        <v>0</v>
      </c>
      <c r="D52" s="337">
        <f t="shared" ref="D52:M52" si="17">SUM(D48:D51)</f>
        <v>0</v>
      </c>
      <c r="E52" s="338">
        <f t="shared" si="17"/>
        <v>-2496488.662</v>
      </c>
      <c r="F52" s="338">
        <f t="shared" si="17"/>
        <v>-1187162.6527940002</v>
      </c>
      <c r="G52" s="337">
        <f t="shared" si="17"/>
        <v>-5106019.2837279197</v>
      </c>
      <c r="H52" s="338">
        <f t="shared" si="17"/>
        <v>-2966742.3359559528</v>
      </c>
      <c r="I52" s="339">
        <f t="shared" si="17"/>
        <v>2482635.3252696078</v>
      </c>
      <c r="J52" s="338">
        <f t="shared" si="17"/>
        <v>-32315772.128266953</v>
      </c>
      <c r="K52" s="338">
        <f t="shared" si="17"/>
        <v>-14996480.260695899</v>
      </c>
      <c r="L52" s="338">
        <f t="shared" si="17"/>
        <v>-1167290.3007536205</v>
      </c>
      <c r="M52" s="339">
        <f t="shared" si="17"/>
        <v>59959474.344300084</v>
      </c>
    </row>
    <row r="53" spans="1:13" ht="13.5" thickBot="1">
      <c r="A53" s="125" t="s">
        <v>27</v>
      </c>
      <c r="B53" s="116"/>
      <c r="C53" s="274">
        <f>C52+NPV(D65,D52:M52)</f>
        <v>-7497034.0695630647</v>
      </c>
      <c r="D53" s="289"/>
      <c r="E53" s="290"/>
      <c r="F53" s="290"/>
      <c r="G53" s="289"/>
      <c r="H53" s="290"/>
      <c r="I53" s="291"/>
      <c r="J53" s="290"/>
      <c r="K53" s="290"/>
      <c r="L53" s="290"/>
      <c r="M53" s="291"/>
    </row>
    <row r="54" spans="1:13" ht="13.5" thickBot="1">
      <c r="A54" s="91" t="s">
        <v>62</v>
      </c>
      <c r="B54" s="169"/>
      <c r="C54" s="292">
        <f>IRR(C52:M52,0)</f>
        <v>1.1293959123884534E-2</v>
      </c>
      <c r="D54" s="273"/>
      <c r="E54" s="169"/>
      <c r="F54" s="169"/>
      <c r="G54" s="273"/>
      <c r="H54" s="169"/>
      <c r="I54" s="191"/>
      <c r="J54" s="169"/>
      <c r="K54" s="169"/>
      <c r="L54" s="169"/>
      <c r="M54" s="191"/>
    </row>
    <row r="55" spans="1:13" ht="13.5" thickBot="1">
      <c r="A55" s="296"/>
      <c r="B55" s="297"/>
      <c r="C55" s="297"/>
      <c r="D55" s="296"/>
      <c r="E55" s="296"/>
      <c r="F55" s="296"/>
      <c r="G55" s="296"/>
      <c r="H55" s="296"/>
      <c r="I55" s="296"/>
      <c r="J55" s="296"/>
      <c r="K55" s="296"/>
      <c r="L55" s="296"/>
      <c r="M55" s="296"/>
    </row>
    <row r="56" spans="1:13" ht="13.5" thickBot="1">
      <c r="A56" s="202" t="s">
        <v>110</v>
      </c>
      <c r="B56" s="175"/>
      <c r="C56" s="175"/>
      <c r="D56" s="201"/>
      <c r="E56" s="296"/>
      <c r="F56" s="296"/>
      <c r="G56" s="296"/>
      <c r="H56" s="296"/>
      <c r="I56" s="296"/>
      <c r="J56" s="296"/>
      <c r="K56" s="296"/>
      <c r="L56" s="296"/>
      <c r="M56" s="296"/>
    </row>
    <row r="57" spans="1:13" ht="13.5" thickBot="1">
      <c r="A57" s="89"/>
      <c r="B57" s="169"/>
      <c r="C57" s="94" t="s">
        <v>108</v>
      </c>
      <c r="D57" s="95" t="s">
        <v>109</v>
      </c>
      <c r="E57" s="296"/>
      <c r="F57" s="296"/>
      <c r="G57" s="296"/>
      <c r="H57" s="296"/>
      <c r="I57" s="296"/>
      <c r="J57" s="296"/>
      <c r="K57" s="296"/>
      <c r="L57" s="296"/>
      <c r="M57" s="296"/>
    </row>
    <row r="58" spans="1:13">
      <c r="A58" s="67" t="s">
        <v>111</v>
      </c>
      <c r="B58" s="68"/>
      <c r="C58" s="68">
        <f>D58/$B$12</f>
        <v>15</v>
      </c>
      <c r="D58" s="246">
        <f>'Development Schedule'!C30</f>
        <v>15000</v>
      </c>
      <c r="E58" s="296"/>
      <c r="F58" s="296"/>
      <c r="G58" s="296"/>
      <c r="H58" s="296"/>
      <c r="I58" s="296"/>
      <c r="J58" s="296"/>
      <c r="K58" s="296"/>
      <c r="L58" s="296"/>
      <c r="M58" s="296"/>
    </row>
    <row r="59" spans="1:13">
      <c r="A59" s="67" t="s">
        <v>368</v>
      </c>
      <c r="B59" s="68"/>
      <c r="C59" s="68">
        <f>D59/$B$22</f>
        <v>35</v>
      </c>
      <c r="D59" s="246">
        <f>'Development Schedule'!C36+'Development Schedule'!C47</f>
        <v>35000</v>
      </c>
      <c r="E59" s="296"/>
      <c r="F59" s="296"/>
      <c r="G59" s="296"/>
      <c r="H59" s="296"/>
      <c r="I59" s="296"/>
      <c r="J59" s="296"/>
      <c r="K59" s="296"/>
      <c r="L59" s="296"/>
      <c r="M59" s="296"/>
    </row>
    <row r="60" spans="1:13">
      <c r="A60" s="67" t="s">
        <v>369</v>
      </c>
      <c r="B60" s="68"/>
      <c r="C60" s="301">
        <f>D60/$B$32</f>
        <v>194.51900000000001</v>
      </c>
      <c r="D60" s="246">
        <f>'Development Schedule'!C59+'Development Schedule'!C70</f>
        <v>194519</v>
      </c>
      <c r="E60" s="296"/>
      <c r="F60" s="296"/>
      <c r="G60" s="296"/>
      <c r="H60" s="296"/>
      <c r="I60" s="296"/>
      <c r="J60" s="296"/>
      <c r="K60" s="296"/>
      <c r="L60" s="296"/>
      <c r="M60" s="296"/>
    </row>
    <row r="61" spans="1:13" ht="13.5" thickBot="1">
      <c r="A61" s="39"/>
      <c r="B61" s="61"/>
      <c r="C61" s="61"/>
      <c r="D61" s="39"/>
      <c r="E61" s="296"/>
      <c r="F61" s="296"/>
      <c r="G61" s="296"/>
      <c r="H61" s="296"/>
      <c r="I61" s="296"/>
      <c r="J61" s="296"/>
      <c r="K61" s="296"/>
      <c r="L61" s="296"/>
      <c r="M61" s="296"/>
    </row>
    <row r="62" spans="1:13" ht="13.5" thickBot="1">
      <c r="A62" s="202" t="s">
        <v>120</v>
      </c>
      <c r="B62" s="275"/>
      <c r="C62" s="275"/>
      <c r="D62" s="276"/>
      <c r="E62" s="296"/>
      <c r="F62" s="296"/>
      <c r="G62" s="296"/>
      <c r="H62" s="296"/>
      <c r="I62" s="296"/>
      <c r="J62" s="296"/>
      <c r="K62" s="296"/>
      <c r="L62" s="296"/>
      <c r="M62" s="296"/>
    </row>
    <row r="63" spans="1:13">
      <c r="A63" s="67" t="s">
        <v>121</v>
      </c>
      <c r="B63" s="68"/>
      <c r="C63" s="68"/>
      <c r="D63" s="840">
        <f>'Summary Board'!K121</f>
        <v>0.06</v>
      </c>
      <c r="E63" s="296"/>
      <c r="F63" s="296"/>
      <c r="G63" s="296"/>
      <c r="H63" s="296"/>
      <c r="I63" s="296"/>
      <c r="J63" s="296"/>
      <c r="K63" s="296"/>
      <c r="L63" s="296"/>
      <c r="M63" s="296"/>
    </row>
    <row r="64" spans="1:13">
      <c r="A64" s="67" t="s">
        <v>122</v>
      </c>
      <c r="B64" s="68"/>
      <c r="C64" s="68"/>
      <c r="D64" s="235">
        <v>0.03</v>
      </c>
      <c r="E64" s="296"/>
      <c r="F64" s="296"/>
      <c r="G64" s="296"/>
      <c r="H64" s="296"/>
      <c r="I64" s="296"/>
      <c r="J64" s="296"/>
      <c r="K64" s="296"/>
      <c r="L64" s="296"/>
      <c r="M64" s="296"/>
    </row>
    <row r="65" spans="1:13" ht="13.5" thickBot="1">
      <c r="A65" s="70" t="s">
        <v>106</v>
      </c>
      <c r="B65" s="71"/>
      <c r="C65" s="71"/>
      <c r="D65" s="233">
        <v>0.09</v>
      </c>
      <c r="E65" s="296"/>
      <c r="F65" s="296"/>
      <c r="G65" s="296"/>
      <c r="H65" s="296"/>
      <c r="I65" s="296"/>
      <c r="J65" s="296"/>
      <c r="K65" s="296"/>
      <c r="L65" s="296"/>
      <c r="M65" s="296"/>
    </row>
    <row r="66" spans="1:13">
      <c r="A66" s="296"/>
      <c r="B66" s="297"/>
      <c r="C66" s="297"/>
      <c r="D66" s="296"/>
      <c r="E66" s="296"/>
      <c r="F66" s="296"/>
      <c r="G66" s="296"/>
      <c r="H66" s="296"/>
      <c r="I66" s="296"/>
      <c r="J66" s="296"/>
      <c r="K66" s="296"/>
      <c r="L66" s="296"/>
      <c r="M66" s="296"/>
    </row>
  </sheetData>
  <phoneticPr fontId="3" type="noConversion"/>
  <printOptions horizontalCentered="1"/>
  <pageMargins left="0.5" right="0.5" top="1" bottom="0.5" header="0.5" footer="0.5"/>
  <pageSetup scale="69" fitToHeight="2" orientation="landscape" r:id="rId1"/>
  <headerFooter alignWithMargins="0">
    <oddHeader>&amp;L&amp;"Arial,Bold"4. Income Statement: Affordable Rental Housing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25</vt:i4>
      </vt:variant>
    </vt:vector>
  </HeadingPairs>
  <TitlesOfParts>
    <vt:vector size="47" baseType="lpstr">
      <vt:lpstr>ULI Hines Summary Board</vt:lpstr>
      <vt:lpstr>Final ULI</vt:lpstr>
      <vt:lpstr>Summary Board</vt:lpstr>
      <vt:lpstr>Budget</vt:lpstr>
      <vt:lpstr>Financing</vt:lpstr>
      <vt:lpstr>1.Infrastructure Costs</vt:lpstr>
      <vt:lpstr>2.Market-Rate Rental Housing</vt:lpstr>
      <vt:lpstr>3.Market-Rate For-Sale Housing</vt:lpstr>
      <vt:lpstr>4.Affordable Rental Housing</vt:lpstr>
      <vt:lpstr>5.Affordable For-Sale Housing </vt:lpstr>
      <vt:lpstr>6.Office</vt:lpstr>
      <vt:lpstr>7.Industrial &amp; School</vt:lpstr>
      <vt:lpstr>8.Market-Rate Retail</vt:lpstr>
      <vt:lpstr>9.Hotel</vt:lpstr>
      <vt:lpstr>10.Structured Parking</vt:lpstr>
      <vt:lpstr>11.Surface Parking</vt:lpstr>
      <vt:lpstr>Additional Data After Here</vt:lpstr>
      <vt:lpstr>Development Schedule</vt:lpstr>
      <vt:lpstr>Land Acquisition</vt:lpstr>
      <vt:lpstr>Land Values</vt:lpstr>
      <vt:lpstr>Development Costs</vt:lpstr>
      <vt:lpstr>Sheet1</vt:lpstr>
      <vt:lpstr>'1.Infrastructure Costs'!Print_Area</vt:lpstr>
      <vt:lpstr>'10.Structured Parking'!Print_Area</vt:lpstr>
      <vt:lpstr>'11.Surface Parking'!Print_Area</vt:lpstr>
      <vt:lpstr>'2.Market-Rate Rental Housing'!Print_Area</vt:lpstr>
      <vt:lpstr>'3.Market-Rate For-Sale Housing'!Print_Area</vt:lpstr>
      <vt:lpstr>'4.Affordable Rental Housing'!Print_Area</vt:lpstr>
      <vt:lpstr>'5.Affordable For-Sale Housing '!Print_Area</vt:lpstr>
      <vt:lpstr>'6.Office'!Print_Area</vt:lpstr>
      <vt:lpstr>'7.Industrial &amp; School'!Print_Area</vt:lpstr>
      <vt:lpstr>'8.Market-Rate Retail'!Print_Area</vt:lpstr>
      <vt:lpstr>'Development Costs'!Print_Area</vt:lpstr>
      <vt:lpstr>'Development Schedule'!Print_Area</vt:lpstr>
      <vt:lpstr>'Final ULI'!Print_Area</vt:lpstr>
      <vt:lpstr>Financing!Print_Area</vt:lpstr>
      <vt:lpstr>'Land Acquisition'!Print_Area</vt:lpstr>
      <vt:lpstr>'Land Values'!Print_Area</vt:lpstr>
      <vt:lpstr>'Summary Board'!Print_Area</vt:lpstr>
      <vt:lpstr>'ULI Hines Summary Board'!Print_Area</vt:lpstr>
      <vt:lpstr>'10.Structured Parking'!Print_Titles</vt:lpstr>
      <vt:lpstr>'11.Surface Parking'!Print_Titles</vt:lpstr>
      <vt:lpstr>'2.Market-Rate Rental Housing'!Print_Titles</vt:lpstr>
      <vt:lpstr>'4.Affordable Rental Housing'!Print_Titles</vt:lpstr>
      <vt:lpstr>'8.Market-Rate Retail'!Print_Titles</vt:lpstr>
      <vt:lpstr>'Development Schedule'!Print_Titles</vt:lpstr>
      <vt:lpstr>'Land Values'!Print_Titles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Chris</cp:lastModifiedBy>
  <cp:lastPrinted>2017-01-22T19:34:51Z</cp:lastPrinted>
  <dcterms:created xsi:type="dcterms:W3CDTF">2007-12-12T14:49:40Z</dcterms:created>
  <dcterms:modified xsi:type="dcterms:W3CDTF">2017-01-22T23:01:06Z</dcterms:modified>
</cp:coreProperties>
</file>