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535" tabRatio="848" activeTab="0"/>
  </bookViews>
  <sheets>
    <sheet name="Summary" sheetId="1" r:id="rId1"/>
    <sheet name="Development Program" sheetId="2" r:id="rId2"/>
    <sheet name="Development Costs" sheetId="3" r:id="rId3"/>
    <sheet name="Infra Cost Distribution" sheetId="4" r:id="rId4"/>
    <sheet name="Infrastructure Costs" sheetId="5" r:id="rId5"/>
    <sheet name="Rental Housing" sheetId="6" r:id="rId6"/>
    <sheet name="For-sale housing" sheetId="7" r:id="rId7"/>
    <sheet name="Office-Commercial" sheetId="8" r:id="rId8"/>
    <sheet name="Retail" sheetId="9" r:id="rId9"/>
    <sheet name="Hotel" sheetId="10" r:id="rId10"/>
    <sheet name="Structured Parking" sheetId="11" r:id="rId11"/>
  </sheets>
  <externalReferences>
    <externalReference r:id="rId14"/>
    <externalReference r:id="rId15"/>
    <externalReference r:id="rId16"/>
  </externalReferences>
  <definedNames>
    <definedName name="cnsld2">'[1]consolsum'!#REF!</definedName>
    <definedName name="cnsld3">'[1]consolsum'!#REF!</definedName>
    <definedName name="cnsld4">'[1]consolsum'!#REF!</definedName>
    <definedName name="cost1">#REF!</definedName>
    <definedName name="hotl1">#REF!</definedName>
    <definedName name="hotl2">#REF!</definedName>
    <definedName name="hotl3">#REF!</definedName>
    <definedName name="hotl4">#REF!</definedName>
    <definedName name="hotl5">#REF!</definedName>
    <definedName name="hotl6">#REF!</definedName>
    <definedName name="off3">'[1]Marina'!#REF!</definedName>
    <definedName name="off4">'[1]Marina'!#REF!</definedName>
    <definedName name="off5">'[1]Marina'!#REF!</definedName>
    <definedName name="off6">'[1]Marina'!#REF!</definedName>
    <definedName name="_xlnm.Print_Area" localSheetId="2">'Development Costs'!$A$1:$J$37</definedName>
    <definedName name="_xlnm.Print_Area" localSheetId="1">'Development Program'!$A$1:$T$28</definedName>
    <definedName name="_xlnm.Print_Area" localSheetId="6">'For-sale housing'!$A:$IV</definedName>
    <definedName name="_xlnm.Print_Area" localSheetId="9">'Hotel'!$A$1:$S$44</definedName>
    <definedName name="_xlnm.Print_Area" localSheetId="3">'Infra Cost Distribution'!$A$1:$D$17</definedName>
    <definedName name="_xlnm.Print_Area" localSheetId="4">'Infrastructure Costs'!$A$1:$S$33</definedName>
    <definedName name="_xlnm.Print_Area" localSheetId="7">'Office-Commercial'!$A$1:$S$41</definedName>
    <definedName name="_xlnm.Print_Area" localSheetId="5">'Rental Housing'!$A$1:$S$42</definedName>
    <definedName name="_xlnm.Print_Area" localSheetId="8">'Retail'!$A$1:$S$38</definedName>
    <definedName name="_xlnm.Print_Area" localSheetId="10">'Structured Parking'!$A$1:$S$56</definedName>
    <definedName name="_xlnm.Print_Area" localSheetId="0">'Summary'!$A$1:$R$42</definedName>
    <definedName name="Print_Area_MI">#REF!</definedName>
    <definedName name="resdl1">#REF!</definedName>
    <definedName name="ret1">#REF!</definedName>
    <definedName name="ret2">#REF!</definedName>
    <definedName name="ret3">#REF!</definedName>
    <definedName name="ret4">#REF!</definedName>
    <definedName name="ret5">#REF!</definedName>
    <definedName name="ret6">#REF!</definedName>
    <definedName name="sa1">#REF!</definedName>
    <definedName name="sa2">#REF!</definedName>
    <definedName name="sa3">#REF!</definedName>
    <definedName name="sa4">#REF!</definedName>
    <definedName name="sa5">#REF!</definedName>
    <definedName name="sa6">#REF!</definedName>
    <definedName name="Sec._1_10yrs">'[3]Sector 1 Summary'!$A$1:$L$37</definedName>
    <definedName name="Sec_3_10yrs">'[3]Sector 3 Summary'!$A$1:$L$36</definedName>
    <definedName name="Sec2_10yrs">'[3]Sector 2 Summary'!$A$1:$L$34</definedName>
    <definedName name="Sec3_10yrs_1hotel">'[3]Sector 3 Summary'!$1:$9,'[3]Sector 3 Summary'!$15:$41</definedName>
    <definedName name="TENYRS">'[3]ONSITE Input'!$D$2</definedName>
    <definedName name="TENYRS_SEC1">'[3]RESIDENT Input'!$B$2:$N$130</definedName>
    <definedName name="TENYRS_SEC2">'[3]Sector 2 Input'!$B$2:$N$72</definedName>
    <definedName name="TENYRS_SEC3">'[3]overnightInput'!$B$2:$N$128</definedName>
    <definedName name="TENYRS_SEC4">'[3]ONSITE Input'!$B1:$N125</definedName>
    <definedName name="Z_25758820_8D3D_11D7_BC7A_000103222E5C_.wvu.PrintArea" localSheetId="2" hidden="1">'Development Costs'!$A$1:$J$37</definedName>
    <definedName name="Z_25758820_8D3D_11D7_BC7A_000103222E5C_.wvu.PrintArea" localSheetId="1" hidden="1">'Development Program'!$A$1:$T$28</definedName>
    <definedName name="Z_25758820_8D3D_11D7_BC7A_000103222E5C_.wvu.PrintArea" localSheetId="6" hidden="1">'For-sale housing'!$A:$XFD</definedName>
    <definedName name="Z_25758820_8D3D_11D7_BC7A_000103222E5C_.wvu.PrintArea" localSheetId="9" hidden="1">'Hotel'!$A$1:$S$44</definedName>
    <definedName name="Z_25758820_8D3D_11D7_BC7A_000103222E5C_.wvu.PrintArea" localSheetId="3" hidden="1">'Infra Cost Distribution'!$A$1:$D$17</definedName>
    <definedName name="Z_25758820_8D3D_11D7_BC7A_000103222E5C_.wvu.PrintArea" localSheetId="4" hidden="1">'Infrastructure Costs'!$A$1:$S$33</definedName>
    <definedName name="Z_25758820_8D3D_11D7_BC7A_000103222E5C_.wvu.PrintArea" localSheetId="7" hidden="1">'Office-Commercial'!$A$1:$S$41</definedName>
    <definedName name="Z_25758820_8D3D_11D7_BC7A_000103222E5C_.wvu.PrintArea" localSheetId="5" hidden="1">'Rental Housing'!$A$1:$S$42</definedName>
    <definedName name="Z_25758820_8D3D_11D7_BC7A_000103222E5C_.wvu.PrintArea" localSheetId="8" hidden="1">'Retail'!$A$1:$S$38</definedName>
    <definedName name="Z_25758820_8D3D_11D7_BC7A_000103222E5C_.wvu.PrintArea" localSheetId="10" hidden="1">'Structured Parking'!$A$1:$S$56</definedName>
    <definedName name="Z_25758820_8D3D_11D7_BC7A_000103222E5C_.wvu.PrintArea" localSheetId="0" hidden="1">'Summary'!$A$1:$R$42</definedName>
    <definedName name="Z_25758820_8D3D_11D7_BC7A_000103222E5C_.wvu.Rows" localSheetId="9" hidden="1">'Hotel'!$26:$26</definedName>
    <definedName name="Z_25758820_8D3D_11D7_BC7A_000103222E5C_.wvu.Rows" localSheetId="7" hidden="1">'Office-Commercial'!$24:$24</definedName>
    <definedName name="Z_25758820_8D3D_11D7_BC7A_000103222E5C_.wvu.Rows" localSheetId="5" hidden="1">'Rental Housing'!$27:$27</definedName>
    <definedName name="Z_25758820_8D3D_11D7_BC7A_000103222E5C_.wvu.Rows" localSheetId="8" hidden="1">'Retail'!$22:$22</definedName>
    <definedName name="Z_25758820_8D3D_11D7_BC7A_000103222E5C_.wvu.Rows" localSheetId="10" hidden="1">'Structured Parking'!$38:$38</definedName>
    <definedName name="Z_8384B020_8D20_11D7_9E65_000103C283DD_.wvu.PrintArea" localSheetId="2" hidden="1">'Development Costs'!$A$1:$J$37</definedName>
    <definedName name="Z_8384B020_8D20_11D7_9E65_000103C283DD_.wvu.PrintArea" localSheetId="1" hidden="1">'Development Program'!$A$1:$T$28</definedName>
    <definedName name="Z_8384B020_8D20_11D7_9E65_000103C283DD_.wvu.PrintArea" localSheetId="6" hidden="1">'For-sale housing'!$A:$XFD</definedName>
    <definedName name="Z_8384B020_8D20_11D7_9E65_000103C283DD_.wvu.PrintArea" localSheetId="9" hidden="1">'Hotel'!$A$1:$S$44</definedName>
    <definedName name="Z_8384B020_8D20_11D7_9E65_000103C283DD_.wvu.PrintArea" localSheetId="3" hidden="1">'Infra Cost Distribution'!$A$1:$D$17</definedName>
    <definedName name="Z_8384B020_8D20_11D7_9E65_000103C283DD_.wvu.PrintArea" localSheetId="4" hidden="1">'Infrastructure Costs'!$A$1:$S$33</definedName>
    <definedName name="Z_8384B020_8D20_11D7_9E65_000103C283DD_.wvu.PrintArea" localSheetId="7" hidden="1">'Office-Commercial'!$A$1:$S$41</definedName>
    <definedName name="Z_8384B020_8D20_11D7_9E65_000103C283DD_.wvu.PrintArea" localSheetId="5" hidden="1">'Rental Housing'!$A$1:$S$42</definedName>
    <definedName name="Z_8384B020_8D20_11D7_9E65_000103C283DD_.wvu.PrintArea" localSheetId="8" hidden="1">'Retail'!$A$1:$S$38</definedName>
    <definedName name="Z_8384B020_8D20_11D7_9E65_000103C283DD_.wvu.PrintArea" localSheetId="10" hidden="1">'Structured Parking'!$A$1:$S$56</definedName>
    <definedName name="Z_8384B020_8D20_11D7_9E65_000103C283DD_.wvu.PrintArea" localSheetId="0" hidden="1">'Summary'!$A$1:$R$42</definedName>
    <definedName name="Z_8384B020_8D20_11D7_9E65_000103C283DD_.wvu.Rows" localSheetId="9" hidden="1">'Hotel'!$26:$26</definedName>
    <definedName name="Z_8384B020_8D20_11D7_9E65_000103C283DD_.wvu.Rows" localSheetId="7" hidden="1">'Office-Commercial'!$24:$24</definedName>
    <definedName name="Z_8384B020_8D20_11D7_9E65_000103C283DD_.wvu.Rows" localSheetId="5" hidden="1">'Rental Housing'!$27:$27</definedName>
    <definedName name="Z_8384B020_8D20_11D7_9E65_000103C283DD_.wvu.Rows" localSheetId="8" hidden="1">'Retail'!$22:$22</definedName>
    <definedName name="Z_8384B020_8D20_11D7_9E65_000103C283DD_.wvu.Rows" localSheetId="10" hidden="1">'Structured Parking'!$38:$38</definedName>
    <definedName name="Z_E3FF698F_58DF_4348_9088_6BAFDF73E628_.wvu.PrintArea" localSheetId="2" hidden="1">'Development Costs'!$A$1:$J$37</definedName>
    <definedName name="Z_E3FF698F_58DF_4348_9088_6BAFDF73E628_.wvu.PrintArea" localSheetId="1" hidden="1">'Development Program'!$A$1:$T$28</definedName>
    <definedName name="Z_E3FF698F_58DF_4348_9088_6BAFDF73E628_.wvu.PrintArea" localSheetId="6" hidden="1">'For-sale housing'!$A:$XFD</definedName>
    <definedName name="Z_E3FF698F_58DF_4348_9088_6BAFDF73E628_.wvu.PrintArea" localSheetId="9" hidden="1">'Hotel'!$A$1:$S$44</definedName>
    <definedName name="Z_E3FF698F_58DF_4348_9088_6BAFDF73E628_.wvu.PrintArea" localSheetId="3" hidden="1">'Infra Cost Distribution'!$A$1:$D$17</definedName>
    <definedName name="Z_E3FF698F_58DF_4348_9088_6BAFDF73E628_.wvu.PrintArea" localSheetId="4" hidden="1">'Infrastructure Costs'!$A$1:$S$33</definedName>
    <definedName name="Z_E3FF698F_58DF_4348_9088_6BAFDF73E628_.wvu.PrintArea" localSheetId="7" hidden="1">'Office-Commercial'!$A$1:$S$41</definedName>
    <definedName name="Z_E3FF698F_58DF_4348_9088_6BAFDF73E628_.wvu.PrintArea" localSheetId="5" hidden="1">'Rental Housing'!$A$1:$S$42</definedName>
    <definedName name="Z_E3FF698F_58DF_4348_9088_6BAFDF73E628_.wvu.PrintArea" localSheetId="8" hidden="1">'Retail'!$A$1:$S$38</definedName>
    <definedName name="Z_E3FF698F_58DF_4348_9088_6BAFDF73E628_.wvu.PrintArea" localSheetId="10" hidden="1">'Structured Parking'!$A$1:$S$56</definedName>
    <definedName name="Z_E3FF698F_58DF_4348_9088_6BAFDF73E628_.wvu.PrintArea" localSheetId="0" hidden="1">'Summary'!$A$1:$R$42</definedName>
    <definedName name="Z_E3FF698F_58DF_4348_9088_6BAFDF73E628_.wvu.Rows" localSheetId="9" hidden="1">'Hotel'!$26:$26</definedName>
    <definedName name="Z_E3FF698F_58DF_4348_9088_6BAFDF73E628_.wvu.Rows" localSheetId="7" hidden="1">'Office-Commercial'!$24:$24</definedName>
    <definedName name="Z_E3FF698F_58DF_4348_9088_6BAFDF73E628_.wvu.Rows" localSheetId="5" hidden="1">'Rental Housing'!$27:$27</definedName>
    <definedName name="Z_E3FF698F_58DF_4348_9088_6BAFDF73E628_.wvu.Rows" localSheetId="8" hidden="1">'Retail'!$22:$22</definedName>
    <definedName name="Z_E3FF698F_58DF_4348_9088_6BAFDF73E628_.wvu.Rows" localSheetId="10" hidden="1">'Structured Parking'!$38:$38</definedName>
  </definedNames>
  <calcPr fullCalcOnLoad="1"/>
</workbook>
</file>

<file path=xl/sharedStrings.xml><?xml version="1.0" encoding="utf-8"?>
<sst xmlns="http://schemas.openxmlformats.org/spreadsheetml/2006/main" count="427" uniqueCount="158">
  <si>
    <t>Multi-Year Development Program</t>
  </si>
  <si>
    <t>Total</t>
  </si>
  <si>
    <t>Year-by-Year Cumulative Absorption</t>
  </si>
  <si>
    <t>Year 1</t>
  </si>
  <si>
    <t>Year 2</t>
  </si>
  <si>
    <t>Year 3</t>
  </si>
  <si>
    <t>Year 4</t>
  </si>
  <si>
    <t>Year 5</t>
  </si>
  <si>
    <t>Year 6</t>
  </si>
  <si>
    <t>Year 7</t>
  </si>
  <si>
    <t>Year 8</t>
  </si>
  <si>
    <t>Year 9</t>
  </si>
  <si>
    <t>Year 10</t>
  </si>
  <si>
    <t>Year 11</t>
  </si>
  <si>
    <t>Year 12</t>
  </si>
  <si>
    <t>Year 13</t>
  </si>
  <si>
    <t>Year 14</t>
  </si>
  <si>
    <t>Year 15</t>
  </si>
  <si>
    <t>units</t>
  </si>
  <si>
    <t>sq. ft.</t>
  </si>
  <si>
    <t>spaces</t>
  </si>
  <si>
    <t>Office/Commercial</t>
  </si>
  <si>
    <t>Hotel</t>
  </si>
  <si>
    <t>Structured Parking</t>
  </si>
  <si>
    <t>Contingency Costs =</t>
  </si>
  <si>
    <t>of Development Costs</t>
  </si>
  <si>
    <t>Contingency</t>
  </si>
  <si>
    <t>Costs</t>
  </si>
  <si>
    <t>Rental Housing</t>
  </si>
  <si>
    <t>For-sale Housing</t>
  </si>
  <si>
    <t>SF</t>
  </si>
  <si>
    <t>per unit</t>
  </si>
  <si>
    <t>per SF</t>
  </si>
  <si>
    <t>per room</t>
  </si>
  <si>
    <t>per space</t>
  </si>
  <si>
    <t>Unit Cost Before</t>
  </si>
  <si>
    <t>Total Unit Costs</t>
  </si>
  <si>
    <t>Including Contingency</t>
  </si>
  <si>
    <t>Linear Feet of Infrastructure</t>
  </si>
  <si>
    <t>Average Street Width</t>
  </si>
  <si>
    <t>feet</t>
  </si>
  <si>
    <t>Total Square Footage</t>
  </si>
  <si>
    <t>Infrastructure Cost per SF</t>
  </si>
  <si>
    <t>Total Infrastructure Costs</t>
  </si>
  <si>
    <t>Unit Development Costs and Infrastructure Costs</t>
  </si>
  <si>
    <t>Total Costs</t>
  </si>
  <si>
    <t>Other Infrastructure Improvements</t>
  </si>
  <si>
    <t>Subtotal</t>
  </si>
  <si>
    <t>Project Total</t>
  </si>
  <si>
    <t>% of Total</t>
  </si>
  <si>
    <t>Phase I</t>
  </si>
  <si>
    <t>Phase II</t>
  </si>
  <si>
    <t>Phase III</t>
  </si>
  <si>
    <t>Commercial Infrastructure</t>
  </si>
  <si>
    <t>Infrastructure Costs by Year, Allocated by Use Types</t>
  </si>
  <si>
    <t>Inflation Factor</t>
  </si>
  <si>
    <t>Number of Units</t>
  </si>
  <si>
    <t>Average Unit Size</t>
  </si>
  <si>
    <t>Occupancy Factor</t>
  </si>
  <si>
    <t>Sales Revenues</t>
  </si>
  <si>
    <t>(1)  Unit Size Includes garage in each unit, and sale price per square foot considers presence of unfinished garage space.</t>
  </si>
  <si>
    <t>GLA Absorbed</t>
  </si>
  <si>
    <t>Vacancy Factor</t>
  </si>
  <si>
    <t>Net Lease Revenue per SF</t>
  </si>
  <si>
    <t>Leasing Revenues</t>
  </si>
  <si>
    <t>Rooms Completed</t>
  </si>
  <si>
    <t>Average Daily Room Rate</t>
  </si>
  <si>
    <t>Room Revenues</t>
  </si>
  <si>
    <t>Parking Spaces</t>
  </si>
  <si>
    <t>Monthly Fees</t>
  </si>
  <si>
    <t>Monthly Parking Fee</t>
  </si>
  <si>
    <t>Allocation to Monthly Use</t>
  </si>
  <si>
    <t>Percent Occupancy by Monthly</t>
  </si>
  <si>
    <t>Hourly Fees</t>
  </si>
  <si>
    <t>Number of Spaces</t>
  </si>
  <si>
    <t>Non-Work Days</t>
  </si>
  <si>
    <t>Daily Parking Hours</t>
  </si>
  <si>
    <t>Percent Utilization</t>
  </si>
  <si>
    <t>Work Days</t>
  </si>
  <si>
    <t>Hourly Parking Rate</t>
  </si>
  <si>
    <t>Expenses</t>
  </si>
  <si>
    <t>Operating Expenses (% of Gross Revenue)</t>
  </si>
  <si>
    <t>Parking Revenue</t>
  </si>
  <si>
    <t>Monthly Parking</t>
  </si>
  <si>
    <t>Hourly Parking</t>
  </si>
  <si>
    <t>Total Parking Revenue</t>
  </si>
  <si>
    <t>Net Operating Income</t>
  </si>
  <si>
    <t>Op. &amp; Maint. Expenses (per SF)</t>
  </si>
  <si>
    <t>Development Costs</t>
  </si>
  <si>
    <t>Percent Built by Year</t>
  </si>
  <si>
    <t>Net Cash Flow</t>
  </si>
  <si>
    <t>Internal Rate of Return:</t>
  </si>
  <si>
    <t>Based on Distribution of Space</t>
  </si>
  <si>
    <t>Summary of Results</t>
  </si>
  <si>
    <t>Total NOI</t>
  </si>
  <si>
    <t>Net Present Value of Costs @</t>
  </si>
  <si>
    <t>Total Development Costs</t>
  </si>
  <si>
    <t>Sample Mixed-Use Development Pro Forma</t>
  </si>
  <si>
    <t>figure 1</t>
  </si>
  <si>
    <t>figure 2</t>
  </si>
  <si>
    <t>figure 3</t>
  </si>
  <si>
    <t>figure 4</t>
  </si>
  <si>
    <t>figure 5</t>
  </si>
  <si>
    <t>figure 6</t>
  </si>
  <si>
    <t>figure 7</t>
  </si>
  <si>
    <t>figure 8</t>
  </si>
  <si>
    <t>figure 9</t>
  </si>
  <si>
    <t>figure 10</t>
  </si>
  <si>
    <t>figure 11</t>
  </si>
  <si>
    <t>Income Statement -- For-sale Housing</t>
  </si>
  <si>
    <t>Income Statement -- Rental Housing</t>
  </si>
  <si>
    <t>Income Statement -- Office-Commercial</t>
  </si>
  <si>
    <t>Income Statement -- Retail</t>
  </si>
  <si>
    <t>Income Statement -- Hotel</t>
  </si>
  <si>
    <t>Income Statement -- Structured Parking</t>
  </si>
  <si>
    <t>Thousands of Dollars/Inflation:</t>
  </si>
  <si>
    <t>Revenue Assumptions</t>
  </si>
  <si>
    <t>Projected Unit Absorption</t>
  </si>
  <si>
    <t>Annual Cash Flow</t>
  </si>
  <si>
    <t>Costs of Sale @</t>
  </si>
  <si>
    <t>(1)  Assumes asset sale in Year 15.</t>
  </si>
  <si>
    <t>Net Present Value @</t>
  </si>
  <si>
    <t>Source: Economics Research Associates, Washington, DC.</t>
  </si>
  <si>
    <r>
      <t xml:space="preserve">Average Unit Size  </t>
    </r>
    <r>
      <rPr>
        <i/>
        <sz val="12"/>
        <rFont val="Arial"/>
        <family val="2"/>
      </rPr>
      <t>(1)</t>
    </r>
  </si>
  <si>
    <t>Sales Price/SF</t>
  </si>
  <si>
    <t>Assumptions</t>
  </si>
  <si>
    <t>Costs of Sales (% of Rev.)</t>
  </si>
  <si>
    <r>
      <t xml:space="preserve">Asset Value </t>
    </r>
    <r>
      <rPr>
        <i/>
        <sz val="12"/>
        <rFont val="Arial"/>
        <family val="2"/>
      </rPr>
      <t xml:space="preserve">(1) </t>
    </r>
    <r>
      <rPr>
        <sz val="12"/>
        <rFont val="Arial"/>
        <family val="2"/>
      </rPr>
      <t>@</t>
    </r>
  </si>
  <si>
    <t>Other Infrastructure</t>
  </si>
  <si>
    <t>Infrastructure Allocation by Distribution of Space</t>
  </si>
  <si>
    <t>Square Feet</t>
  </si>
  <si>
    <t>Commercial Development Unit Costs</t>
  </si>
  <si>
    <t>Infrastructure Development Costs</t>
  </si>
  <si>
    <t>Project Buildout by Square Feet</t>
  </si>
  <si>
    <t>Project Buildout by Development Units</t>
  </si>
  <si>
    <t>Total Buildout</t>
  </si>
  <si>
    <t>Thousands of Dollars</t>
  </si>
  <si>
    <t>rooms</t>
  </si>
  <si>
    <t>Park/Landscaping</t>
  </si>
  <si>
    <t>Infrastructure Costs</t>
  </si>
  <si>
    <t>Retail</t>
  </si>
  <si>
    <t>Builder Profit (% of Rev.)</t>
  </si>
  <si>
    <t>Gross Lease Revenues</t>
  </si>
  <si>
    <t>Monthly Rent/SF</t>
  </si>
  <si>
    <t>Annual Operating Exp./SF</t>
  </si>
  <si>
    <t>Source: Economics Research Associates</t>
  </si>
  <si>
    <t>Other Revenues</t>
  </si>
  <si>
    <t>Total Expenses as % of Gross Revenue</t>
  </si>
  <si>
    <t>Total Revenues</t>
  </si>
  <si>
    <t xml:space="preserve">Net Rentable Area </t>
  </si>
  <si>
    <t>Net Rentable Area</t>
  </si>
  <si>
    <t>Net Usable Area</t>
  </si>
  <si>
    <t>Unleveraged IRR:</t>
  </si>
  <si>
    <r>
      <t>Total Asset Value</t>
    </r>
    <r>
      <rPr>
        <sz val="12"/>
        <rFont val="Arial"/>
        <family val="2"/>
      </rPr>
      <t>@</t>
    </r>
  </si>
  <si>
    <t>(2) Assumes asset sale in Year 15.</t>
  </si>
  <si>
    <r>
      <t xml:space="preserve">Total Costs of Sale </t>
    </r>
    <r>
      <rPr>
        <i/>
        <sz val="12"/>
        <rFont val="Arial"/>
        <family val="2"/>
      </rPr>
      <t>(2)</t>
    </r>
    <r>
      <rPr>
        <sz val="12"/>
        <rFont val="Arial"/>
        <family val="2"/>
      </rPr>
      <t xml:space="preserve"> @</t>
    </r>
  </si>
  <si>
    <r>
      <t xml:space="preserve">Other Infrastructure </t>
    </r>
    <r>
      <rPr>
        <i/>
        <sz val="12"/>
        <rFont val="Arial"/>
        <family val="2"/>
      </rPr>
      <t>(1)</t>
    </r>
  </si>
  <si>
    <t xml:space="preserve">(1) Other Infrastructure costs are not allocated among each of the uses.  The project net present value is therefore less than the sum of the net present values for the individual uses.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</si>
</sst>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_(* #,##0_);_(* \(#,##0\);_(* &quot;-&quot;??_);_(@_)"/>
    <numFmt numFmtId="167" formatCode="_(* #,##0.0_);_(* \(#,##0.0\);_(* &quot;-&quot;??_);_(@_)"/>
    <numFmt numFmtId="168" formatCode="_(&quot;$&quot;* #,##0.0_);_(&quot;$&quot;* \(#,##0.0\);_(&quot;$&quot;* &quot;-&quot;??_);_(@_)"/>
    <numFmt numFmtId="169" formatCode="_(&quot;$&quot;* #,##0_);_(&quot;$&quot;* \(#,##0\);_(&quot;$&quot;* &quot;-&quot;??_);_(@_)"/>
    <numFmt numFmtId="170" formatCode="&quot;$&quot;#,##0.0_);[Red]\(&quot;$&quot;#,##0.0\)"/>
    <numFmt numFmtId="171" formatCode="_(* #,##0.0_);_(* \(#,##0.0\);_(* &quot;-&quot;?_);_(@_)"/>
    <numFmt numFmtId="172" formatCode="#,##0.0"/>
    <numFmt numFmtId="173" formatCode="_(&quot;$&quot;* #,##0.0_);_(&quot;$&quot;* \(#,##0.0\);_(&quot;$&quot;* &quot;-&quot;?_);_(@_)"/>
    <numFmt numFmtId="174" formatCode="_(&quot;$&quot;* #,##0.0_);_(&quot;$&quot;* \(#,##0.0\);_(&quot;$&quot;* &quot;-&quot;_);_(@_)"/>
    <numFmt numFmtId="175" formatCode="_(* #,##0_);_(* \(#,##0\);_(* &quot;-&quot;?_);_(@_)"/>
    <numFmt numFmtId="176" formatCode="&quot;$&quot;#,##0;[Red]\(&quot;$&quot;#,##0\)"/>
    <numFmt numFmtId="177" formatCode="&quot;$&quot;#,##0.00;\(&quot;$&quot;#,##0.00\)"/>
    <numFmt numFmtId="178" formatCode="&quot;$&quot;#,##0.0;\(&quot;$&quot;#,##0.00\)"/>
    <numFmt numFmtId="179" formatCode="0.000"/>
    <numFmt numFmtId="180" formatCode="0.0"/>
  </numFmts>
  <fonts count="26">
    <font>
      <sz val="12"/>
      <name val="Times New Roman"/>
      <family val="0"/>
    </font>
    <font>
      <b/>
      <sz val="12"/>
      <name val="Times New Roman"/>
      <family val="0"/>
    </font>
    <font>
      <i/>
      <sz val="12"/>
      <name val="Times New Roman"/>
      <family val="0"/>
    </font>
    <font>
      <b/>
      <i/>
      <sz val="12"/>
      <name val="Times New Roman"/>
      <family val="0"/>
    </font>
    <font>
      <b/>
      <u val="single"/>
      <sz val="12"/>
      <name val="Times New Roman"/>
      <family val="0"/>
    </font>
    <font>
      <sz val="10"/>
      <name val="Arial"/>
      <family val="0"/>
    </font>
    <font>
      <sz val="11"/>
      <name val="Times New Roman"/>
      <family val="0"/>
    </font>
    <font>
      <b/>
      <sz val="14"/>
      <name val="Times New Roman"/>
      <family val="1"/>
    </font>
    <font>
      <u val="single"/>
      <sz val="12"/>
      <name val="Times New Roman"/>
      <family val="1"/>
    </font>
    <font>
      <b/>
      <sz val="14"/>
      <name val="Arial"/>
      <family val="2"/>
    </font>
    <font>
      <b/>
      <sz val="14"/>
      <color indexed="12"/>
      <name val="Arial"/>
      <family val="2"/>
    </font>
    <font>
      <sz val="14"/>
      <name val="Arial"/>
      <family val="2"/>
    </font>
    <font>
      <sz val="12"/>
      <name val="Arial"/>
      <family val="2"/>
    </font>
    <font>
      <i/>
      <sz val="12"/>
      <name val="Arial"/>
      <family val="2"/>
    </font>
    <font>
      <b/>
      <sz val="12"/>
      <name val="Arial"/>
      <family val="2"/>
    </font>
    <font>
      <b/>
      <u val="single"/>
      <sz val="12"/>
      <name val="Arial"/>
      <family val="2"/>
    </font>
    <font>
      <sz val="12"/>
      <color indexed="12"/>
      <name val="Arial"/>
      <family val="2"/>
    </font>
    <font>
      <sz val="12"/>
      <color indexed="10"/>
      <name val="Arial"/>
      <family val="2"/>
    </font>
    <font>
      <u val="singleAccounting"/>
      <sz val="12"/>
      <name val="Arial"/>
      <family val="2"/>
    </font>
    <font>
      <sz val="12"/>
      <color indexed="8"/>
      <name val="Arial"/>
      <family val="2"/>
    </font>
    <font>
      <b/>
      <sz val="12"/>
      <color indexed="12"/>
      <name val="Arial"/>
      <family val="2"/>
    </font>
    <font>
      <b/>
      <sz val="12"/>
      <color indexed="9"/>
      <name val="Arial"/>
      <family val="2"/>
    </font>
    <font>
      <b/>
      <u val="singleAccounting"/>
      <sz val="12"/>
      <name val="Arial"/>
      <family val="2"/>
    </font>
    <font>
      <u val="single"/>
      <sz val="12"/>
      <name val="Arial"/>
      <family val="2"/>
    </font>
    <font>
      <sz val="16"/>
      <name val="Arial"/>
      <family val="2"/>
    </font>
    <font>
      <b/>
      <sz val="12"/>
      <color indexed="8"/>
      <name val="Arial"/>
      <family val="2"/>
    </font>
  </fonts>
  <fills count="5">
    <fill>
      <patternFill/>
    </fill>
    <fill>
      <patternFill patternType="gray125"/>
    </fill>
    <fill>
      <patternFill patternType="solid">
        <fgColor indexed="8"/>
        <bgColor indexed="64"/>
      </patternFill>
    </fill>
    <fill>
      <patternFill patternType="solid">
        <fgColor indexed="55"/>
        <bgColor indexed="64"/>
      </patternFill>
    </fill>
    <fill>
      <patternFill patternType="solid">
        <fgColor indexed="63"/>
        <bgColor indexed="64"/>
      </patternFill>
    </fill>
  </fills>
  <borders count="22">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thin"/>
      <top>
        <color indexed="63"/>
      </top>
      <bottom style="thin"/>
    </border>
    <border>
      <left style="medium">
        <color indexed="22"/>
      </left>
      <right>
        <color indexed="63"/>
      </right>
      <top style="thin"/>
      <bottom>
        <color indexed="63"/>
      </bottom>
    </border>
    <border>
      <left>
        <color indexed="63"/>
      </left>
      <right style="medium">
        <color indexed="22"/>
      </right>
      <top style="thin"/>
      <bottom>
        <color indexed="63"/>
      </bottom>
    </border>
    <border>
      <left style="medium">
        <color indexed="22"/>
      </left>
      <right>
        <color indexed="63"/>
      </right>
      <top>
        <color indexed="63"/>
      </top>
      <bottom style="thin"/>
    </border>
    <border>
      <left>
        <color indexed="63"/>
      </left>
      <right style="medium">
        <color indexed="22"/>
      </right>
      <top>
        <color indexed="63"/>
      </top>
      <bottom style="thin"/>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color indexed="22"/>
      </left>
      <right>
        <color indexed="63"/>
      </right>
      <top style="thin"/>
      <bottom style="thin"/>
    </border>
    <border>
      <left>
        <color indexed="63"/>
      </left>
      <right style="medium">
        <color indexed="22"/>
      </right>
      <top style="thin"/>
      <bottom style="thin"/>
    </border>
    <border>
      <left style="thin"/>
      <right>
        <color indexed="63"/>
      </right>
      <top style="thin"/>
      <bottom style="thin"/>
    </border>
    <border>
      <left>
        <color indexed="63"/>
      </left>
      <right style="thin"/>
      <top style="thin"/>
      <bottom style="thin"/>
    </border>
    <border>
      <left style="medium">
        <color indexed="22"/>
      </left>
      <right>
        <color indexed="63"/>
      </right>
      <top style="medium">
        <color indexed="22"/>
      </top>
      <bottom style="thin"/>
    </border>
    <border>
      <left>
        <color indexed="63"/>
      </left>
      <right>
        <color indexed="63"/>
      </right>
      <top style="medium">
        <color indexed="22"/>
      </top>
      <bottom style="thin"/>
    </border>
    <border>
      <left>
        <color indexed="63"/>
      </left>
      <right style="medium">
        <color indexed="22"/>
      </right>
      <top style="medium">
        <color indexed="22"/>
      </top>
      <bottom style="thin"/>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left"/>
      <protection/>
    </xf>
    <xf numFmtId="0" fontId="4" fillId="0" borderId="0">
      <alignment horizontal="left"/>
      <protection/>
    </xf>
    <xf numFmtId="43" fontId="0" fillId="0" borderId="0" applyFont="0" applyFill="0" applyBorder="0" applyAlignment="0" applyProtection="0"/>
    <xf numFmtId="3" fontId="0" fillId="0" borderId="0">
      <alignment horizontal="right"/>
      <protection/>
    </xf>
    <xf numFmtId="172" fontId="0" fillId="0" borderId="0">
      <alignment horizontal="right"/>
      <protection/>
    </xf>
    <xf numFmtId="4" fontId="0" fillId="0" borderId="0">
      <alignment horizontal="right"/>
      <protection/>
    </xf>
    <xf numFmtId="41" fontId="0" fillId="0" borderId="0" applyFont="0" applyFill="0" applyBorder="0" applyAlignment="0" applyProtection="0"/>
    <xf numFmtId="44" fontId="0" fillId="0" borderId="0" applyFont="0" applyFill="0" applyBorder="0" applyAlignment="0" applyProtection="0"/>
    <xf numFmtId="176" fontId="0" fillId="0" borderId="0">
      <alignment horizontal="right"/>
      <protection/>
    </xf>
    <xf numFmtId="178" fontId="0" fillId="0" borderId="0">
      <alignment horizontal="right"/>
      <protection/>
    </xf>
    <xf numFmtId="177" fontId="0" fillId="0" borderId="0">
      <alignment horizontal="right"/>
      <protection/>
    </xf>
    <xf numFmtId="42" fontId="0" fillId="0" borderId="0" applyFont="0" applyFill="0" applyBorder="0" applyAlignment="0" applyProtection="0"/>
    <xf numFmtId="0" fontId="5" fillId="0" borderId="0">
      <alignment/>
      <protection/>
    </xf>
    <xf numFmtId="0" fontId="6" fillId="0" borderId="0">
      <alignment/>
      <protection/>
    </xf>
    <xf numFmtId="1" fontId="0" fillId="0" borderId="0">
      <alignment horizontal="right"/>
      <protection/>
    </xf>
    <xf numFmtId="9" fontId="0" fillId="0" borderId="0" applyFont="0" applyFill="0" applyBorder="0" applyAlignment="0" applyProtection="0"/>
    <xf numFmtId="9" fontId="0" fillId="0" borderId="0">
      <alignment horizontal="right"/>
      <protection/>
    </xf>
    <xf numFmtId="165" fontId="0" fillId="0" borderId="0">
      <alignment horizontal="right"/>
      <protection/>
    </xf>
    <xf numFmtId="10" fontId="0" fillId="0" borderId="0">
      <alignment horizontal="right"/>
      <protection/>
    </xf>
  </cellStyleXfs>
  <cellXfs count="282">
    <xf numFmtId="0" fontId="0" fillId="0" borderId="0" xfId="0" applyAlignment="1">
      <alignment/>
    </xf>
    <xf numFmtId="0" fontId="7" fillId="0" borderId="0" xfId="0" applyFont="1" applyAlignment="1">
      <alignment horizontal="left"/>
    </xf>
    <xf numFmtId="0" fontId="0" fillId="0" borderId="0" xfId="0" applyAlignment="1">
      <alignment horizontal="center"/>
    </xf>
    <xf numFmtId="166" fontId="0" fillId="0" borderId="0" xfId="0" applyNumberFormat="1" applyAlignment="1">
      <alignment/>
    </xf>
    <xf numFmtId="0" fontId="1" fillId="0" borderId="0" xfId="0" applyFont="1" applyAlignment="1">
      <alignment/>
    </xf>
    <xf numFmtId="43" fontId="0" fillId="0" borderId="0" xfId="0" applyNumberFormat="1" applyAlignment="1">
      <alignment/>
    </xf>
    <xf numFmtId="0" fontId="0" fillId="0" borderId="0" xfId="0" applyFont="1" applyAlignment="1">
      <alignment/>
    </xf>
    <xf numFmtId="0" fontId="0" fillId="0" borderId="0" xfId="0" applyBorder="1" applyAlignment="1">
      <alignment/>
    </xf>
    <xf numFmtId="169" fontId="0" fillId="0" borderId="0" xfId="22" applyNumberFormat="1" applyAlignment="1">
      <alignment/>
    </xf>
    <xf numFmtId="165" fontId="0" fillId="0" borderId="0" xfId="0" applyNumberFormat="1" applyFont="1" applyAlignment="1">
      <alignment/>
    </xf>
    <xf numFmtId="0" fontId="2" fillId="0" borderId="0" xfId="0" applyFont="1" applyAlignment="1">
      <alignment/>
    </xf>
    <xf numFmtId="166" fontId="2" fillId="0" borderId="0" xfId="17" applyNumberFormat="1" applyFont="1" applyAlignment="1">
      <alignment/>
    </xf>
    <xf numFmtId="0" fontId="9" fillId="0" borderId="0" xfId="0" applyFont="1" applyAlignment="1">
      <alignment horizontal="left"/>
    </xf>
    <xf numFmtId="164" fontId="10" fillId="0" borderId="0" xfId="0" applyNumberFormat="1" applyFont="1" applyAlignment="1" applyProtection="1">
      <alignment horizontal="left"/>
      <protection/>
    </xf>
    <xf numFmtId="9" fontId="12" fillId="0" borderId="0" xfId="30" applyNumberFormat="1" applyFont="1" applyAlignment="1">
      <alignment horizontal="left"/>
    </xf>
    <xf numFmtId="0" fontId="12" fillId="0" borderId="0" xfId="0" applyFont="1" applyAlignment="1">
      <alignment/>
    </xf>
    <xf numFmtId="165" fontId="12" fillId="0" borderId="0" xfId="0" applyNumberFormat="1" applyFont="1" applyAlignment="1">
      <alignment/>
    </xf>
    <xf numFmtId="166" fontId="13" fillId="0" borderId="0" xfId="17" applyNumberFormat="1" applyFont="1" applyAlignment="1">
      <alignment/>
    </xf>
    <xf numFmtId="0" fontId="13" fillId="0" borderId="0" xfId="0" applyFont="1" applyAlignment="1">
      <alignment/>
    </xf>
    <xf numFmtId="0" fontId="12" fillId="0" borderId="0" xfId="0" applyFont="1" applyAlignment="1">
      <alignment vertical="center"/>
    </xf>
    <xf numFmtId="164" fontId="12" fillId="0" borderId="0" xfId="0" applyNumberFormat="1" applyFont="1" applyAlignment="1" applyProtection="1">
      <alignment horizontal="left" vertical="center"/>
      <protection/>
    </xf>
    <xf numFmtId="43" fontId="12" fillId="0" borderId="0" xfId="17" applyFont="1" applyAlignment="1">
      <alignment vertical="center"/>
    </xf>
    <xf numFmtId="43" fontId="12" fillId="0" borderId="0" xfId="17" applyFont="1" applyBorder="1" applyAlignment="1" applyProtection="1">
      <alignment vertical="center"/>
      <protection locked="0"/>
    </xf>
    <xf numFmtId="3" fontId="16" fillId="0" borderId="1" xfId="30" applyNumberFormat="1" applyFont="1" applyBorder="1" applyAlignment="1">
      <alignment vertical="center"/>
    </xf>
    <xf numFmtId="41" fontId="12" fillId="0" borderId="0" xfId="17" applyNumberFormat="1" applyFont="1" applyBorder="1" applyAlignment="1" applyProtection="1">
      <alignment vertical="center"/>
      <protection locked="0"/>
    </xf>
    <xf numFmtId="0" fontId="12" fillId="0" borderId="0" xfId="0" applyFont="1" applyAlignment="1">
      <alignment horizontal="left" vertical="center"/>
    </xf>
    <xf numFmtId="43" fontId="17" fillId="0" borderId="0" xfId="17" applyFont="1" applyAlignment="1">
      <alignment horizontal="center" vertical="center"/>
    </xf>
    <xf numFmtId="44" fontId="16" fillId="0" borderId="1" xfId="22" applyNumberFormat="1" applyFont="1" applyBorder="1" applyAlignment="1">
      <alignment vertical="center"/>
    </xf>
    <xf numFmtId="165" fontId="16" fillId="0" borderId="1" xfId="30" applyNumberFormat="1" applyFont="1" applyBorder="1" applyAlignment="1">
      <alignment vertical="center"/>
    </xf>
    <xf numFmtId="165" fontId="16" fillId="0" borderId="0" xfId="30" applyNumberFormat="1" applyFont="1" applyBorder="1" applyAlignment="1">
      <alignment vertical="center"/>
    </xf>
    <xf numFmtId="165" fontId="12" fillId="0" borderId="0" xfId="0" applyNumberFormat="1" applyFont="1" applyAlignment="1">
      <alignment vertical="center"/>
    </xf>
    <xf numFmtId="164" fontId="16" fillId="0" borderId="0" xfId="0" applyNumberFormat="1" applyFont="1" applyBorder="1" applyAlignment="1" applyProtection="1">
      <alignment vertical="center"/>
      <protection locked="0"/>
    </xf>
    <xf numFmtId="166" fontId="16" fillId="0" borderId="0" xfId="17" applyNumberFormat="1" applyFont="1" applyBorder="1" applyAlignment="1" applyProtection="1">
      <alignment vertical="center"/>
      <protection locked="0"/>
    </xf>
    <xf numFmtId="165" fontId="12" fillId="0" borderId="0" xfId="0" applyNumberFormat="1" applyFont="1" applyAlignment="1" quotePrefix="1">
      <alignment horizontal="center" vertical="center"/>
    </xf>
    <xf numFmtId="174" fontId="12" fillId="0" borderId="2" xfId="22" applyNumberFormat="1" applyFont="1" applyBorder="1" applyAlignment="1" applyProtection="1">
      <alignment vertical="center"/>
      <protection/>
    </xf>
    <xf numFmtId="164" fontId="14" fillId="0" borderId="0" xfId="0" applyNumberFormat="1" applyFont="1" applyAlignment="1" applyProtection="1">
      <alignment horizontal="left" vertical="center"/>
      <protection/>
    </xf>
    <xf numFmtId="166" fontId="12" fillId="0" borderId="0" xfId="17" applyNumberFormat="1" applyFont="1" applyAlignment="1">
      <alignment vertical="center"/>
    </xf>
    <xf numFmtId="165" fontId="12" fillId="0" borderId="0" xfId="30" applyNumberFormat="1" applyFont="1" applyBorder="1" applyAlignment="1">
      <alignment vertical="center"/>
    </xf>
    <xf numFmtId="174" fontId="12" fillId="0" borderId="0" xfId="22" applyNumberFormat="1" applyFont="1" applyAlignment="1" applyProtection="1">
      <alignment vertical="center"/>
      <protection/>
    </xf>
    <xf numFmtId="174" fontId="12" fillId="0" borderId="0" xfId="0" applyNumberFormat="1" applyFont="1" applyAlignment="1">
      <alignment vertical="center"/>
    </xf>
    <xf numFmtId="0" fontId="14" fillId="0" borderId="0" xfId="0" applyFont="1" applyAlignment="1">
      <alignment vertical="center"/>
    </xf>
    <xf numFmtId="168" fontId="16" fillId="0" borderId="1" xfId="22" applyNumberFormat="1" applyFont="1" applyBorder="1" applyAlignment="1">
      <alignment vertical="center"/>
    </xf>
    <xf numFmtId="165" fontId="12" fillId="0" borderId="0" xfId="30" applyNumberFormat="1" applyFont="1" applyAlignment="1">
      <alignment vertical="center"/>
    </xf>
    <xf numFmtId="9" fontId="12" fillId="0" borderId="0" xfId="30" applyFont="1" applyAlignment="1">
      <alignment vertical="center"/>
    </xf>
    <xf numFmtId="174" fontId="18" fillId="0" borderId="0" xfId="0" applyNumberFormat="1" applyFont="1" applyAlignment="1">
      <alignment vertical="center"/>
    </xf>
    <xf numFmtId="42" fontId="12" fillId="0" borderId="0" xfId="0" applyNumberFormat="1" applyFont="1" applyAlignment="1">
      <alignment vertical="center"/>
    </xf>
    <xf numFmtId="0" fontId="13" fillId="0" borderId="0" xfId="0" applyFont="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165" fontId="14" fillId="0" borderId="4" xfId="0" applyNumberFormat="1" applyFont="1" applyBorder="1" applyAlignment="1">
      <alignment horizontal="center" vertical="center"/>
    </xf>
    <xf numFmtId="0" fontId="12" fillId="0" borderId="0" xfId="0" applyFont="1" applyAlignment="1">
      <alignment horizontal="left"/>
    </xf>
    <xf numFmtId="0" fontId="12" fillId="0" borderId="0" xfId="0" applyFont="1" applyBorder="1" applyAlignment="1">
      <alignment vertical="center"/>
    </xf>
    <xf numFmtId="164" fontId="14" fillId="0" borderId="0" xfId="0" applyNumberFormat="1" applyFont="1" applyBorder="1" applyAlignment="1" applyProtection="1">
      <alignment horizontal="left" vertical="center"/>
      <protection/>
    </xf>
    <xf numFmtId="0" fontId="12" fillId="0" borderId="2" xfId="0" applyFont="1" applyBorder="1" applyAlignment="1">
      <alignment vertical="center"/>
    </xf>
    <xf numFmtId="0" fontId="14" fillId="0" borderId="2" xfId="0" applyFont="1" applyBorder="1" applyAlignment="1">
      <alignment vertical="center"/>
    </xf>
    <xf numFmtId="174" fontId="12" fillId="0" borderId="2" xfId="0" applyNumberFormat="1" applyFont="1" applyBorder="1" applyAlignment="1">
      <alignment vertical="center"/>
    </xf>
    <xf numFmtId="0" fontId="14" fillId="0" borderId="0" xfId="0" applyFont="1" applyBorder="1" applyAlignment="1">
      <alignment vertical="center"/>
    </xf>
    <xf numFmtId="0" fontId="14" fillId="0" borderId="3" xfId="0" applyFont="1" applyBorder="1" applyAlignment="1">
      <alignment vertical="center"/>
    </xf>
    <xf numFmtId="174" fontId="14" fillId="0" borderId="2" xfId="22" applyNumberFormat="1" applyFont="1" applyBorder="1" applyAlignment="1">
      <alignment vertical="center"/>
    </xf>
    <xf numFmtId="42" fontId="12" fillId="0" borderId="2" xfId="0" applyNumberFormat="1" applyFont="1" applyBorder="1" applyAlignment="1">
      <alignment vertical="center"/>
    </xf>
    <xf numFmtId="0" fontId="14" fillId="0" borderId="3" xfId="0" applyFont="1" applyBorder="1" applyAlignment="1">
      <alignment horizontal="right" vertical="center"/>
    </xf>
    <xf numFmtId="9" fontId="14" fillId="0" borderId="3" xfId="30" applyFont="1" applyBorder="1" applyAlignment="1">
      <alignment horizontal="right" vertical="center"/>
    </xf>
    <xf numFmtId="43" fontId="12" fillId="0" borderId="2" xfId="17" applyFont="1" applyBorder="1" applyAlignment="1">
      <alignment vertical="center"/>
    </xf>
    <xf numFmtId="43" fontId="12" fillId="0" borderId="2" xfId="17" applyFont="1" applyBorder="1" applyAlignment="1" applyProtection="1">
      <alignment vertical="center"/>
      <protection locked="0"/>
    </xf>
    <xf numFmtId="164" fontId="14" fillId="0" borderId="4" xfId="0" applyNumberFormat="1" applyFont="1" applyBorder="1" applyAlignment="1" applyProtection="1">
      <alignment horizontal="left" vertical="center"/>
      <protection/>
    </xf>
    <xf numFmtId="166" fontId="14" fillId="0" borderId="4" xfId="17" applyNumberFormat="1" applyFont="1" applyBorder="1" applyAlignment="1">
      <alignment horizontal="center" vertical="center"/>
    </xf>
    <xf numFmtId="166" fontId="14" fillId="0" borderId="4" xfId="17" applyNumberFormat="1" applyFont="1" applyBorder="1" applyAlignment="1">
      <alignment horizontal="centerContinuous" vertical="center"/>
    </xf>
    <xf numFmtId="0" fontId="14" fillId="0" borderId="4" xfId="0" applyFont="1" applyBorder="1" applyAlignment="1">
      <alignment horizontal="centerContinuous" vertical="center"/>
    </xf>
    <xf numFmtId="0" fontId="14" fillId="0" borderId="4" xfId="0" applyFont="1" applyBorder="1" applyAlignment="1">
      <alignment vertical="center"/>
    </xf>
    <xf numFmtId="0" fontId="12" fillId="0" borderId="0" xfId="0" applyFont="1" applyBorder="1" applyAlignment="1">
      <alignment/>
    </xf>
    <xf numFmtId="0" fontId="12" fillId="0" borderId="2" xfId="0" applyFont="1" applyBorder="1" applyAlignment="1">
      <alignment/>
    </xf>
    <xf numFmtId="166" fontId="12" fillId="0" borderId="2" xfId="17" applyNumberFormat="1" applyFont="1" applyBorder="1" applyAlignment="1">
      <alignment/>
    </xf>
    <xf numFmtId="0" fontId="14" fillId="0" borderId="2" xfId="0" applyFont="1" applyBorder="1" applyAlignment="1">
      <alignment/>
    </xf>
    <xf numFmtId="0" fontId="12" fillId="0" borderId="0" xfId="0" applyFont="1" applyAlignment="1">
      <alignment horizontal="center"/>
    </xf>
    <xf numFmtId="174" fontId="12" fillId="0" borderId="0" xfId="22" applyNumberFormat="1" applyFont="1" applyBorder="1" applyAlignment="1" applyProtection="1">
      <alignment vertical="center"/>
      <protection/>
    </xf>
    <xf numFmtId="174" fontId="18" fillId="0" borderId="0" xfId="22" applyNumberFormat="1" applyFont="1" applyBorder="1" applyAlignment="1" applyProtection="1">
      <alignment vertical="center"/>
      <protection/>
    </xf>
    <xf numFmtId="0" fontId="14" fillId="0" borderId="4" xfId="0" applyFont="1" applyBorder="1" applyAlignment="1">
      <alignment horizontal="center" vertical="center"/>
    </xf>
    <xf numFmtId="165" fontId="14" fillId="0" borderId="3" xfId="0" applyNumberFormat="1" applyFont="1" applyBorder="1" applyAlignment="1">
      <alignment horizontal="right" vertical="center"/>
    </xf>
    <xf numFmtId="0" fontId="14" fillId="0" borderId="3" xfId="0" applyFont="1" applyBorder="1" applyAlignment="1">
      <alignment horizontal="center" vertical="center"/>
    </xf>
    <xf numFmtId="165" fontId="14" fillId="0" borderId="2" xfId="0" applyNumberFormat="1" applyFont="1" applyBorder="1" applyAlignment="1">
      <alignment horizontal="right" vertical="center"/>
    </xf>
    <xf numFmtId="0" fontId="15" fillId="0" borderId="2" xfId="0" applyFont="1" applyBorder="1" applyAlignment="1">
      <alignment horizontal="center" vertical="center"/>
    </xf>
    <xf numFmtId="166" fontId="14" fillId="0" borderId="0" xfId="17" applyNumberFormat="1" applyFont="1" applyBorder="1" applyAlignment="1">
      <alignment horizontal="center" vertical="center"/>
    </xf>
    <xf numFmtId="3" fontId="16" fillId="0" borderId="5" xfId="30" applyNumberFormat="1" applyFont="1" applyBorder="1" applyAlignment="1">
      <alignment vertical="center"/>
    </xf>
    <xf numFmtId="0" fontId="12" fillId="0" borderId="2" xfId="0" applyFont="1" applyBorder="1" applyAlignment="1">
      <alignment horizontal="left" vertical="center"/>
    </xf>
    <xf numFmtId="164" fontId="12" fillId="0" borderId="2" xfId="0" applyNumberFormat="1" applyFont="1" applyBorder="1" applyAlignment="1" applyProtection="1">
      <alignment horizontal="left" vertical="center"/>
      <protection/>
    </xf>
    <xf numFmtId="165" fontId="12" fillId="0" borderId="2" xfId="0" applyNumberFormat="1" applyFont="1" applyBorder="1" applyAlignment="1">
      <alignment vertical="center"/>
    </xf>
    <xf numFmtId="164" fontId="16" fillId="0" borderId="2" xfId="0" applyNumberFormat="1" applyFont="1" applyBorder="1" applyAlignment="1" applyProtection="1">
      <alignment vertical="center"/>
      <protection locked="0"/>
    </xf>
    <xf numFmtId="166" fontId="16" fillId="0" borderId="2" xfId="17" applyNumberFormat="1" applyFont="1" applyBorder="1" applyAlignment="1" applyProtection="1">
      <alignment vertical="center"/>
      <protection locked="0"/>
    </xf>
    <xf numFmtId="169" fontId="16" fillId="0" borderId="1" xfId="22" applyNumberFormat="1" applyFont="1" applyBorder="1" applyAlignment="1">
      <alignment vertical="center"/>
    </xf>
    <xf numFmtId="42" fontId="12" fillId="0" borderId="0" xfId="0" applyNumberFormat="1" applyFont="1" applyBorder="1" applyAlignment="1">
      <alignment vertical="center"/>
    </xf>
    <xf numFmtId="169" fontId="12" fillId="0" borderId="0" xfId="0" applyNumberFormat="1" applyFont="1" applyBorder="1" applyAlignment="1">
      <alignment vertical="center"/>
    </xf>
    <xf numFmtId="6" fontId="12" fillId="0" borderId="0" xfId="0" applyNumberFormat="1" applyFont="1" applyAlignment="1">
      <alignment vertical="center"/>
    </xf>
    <xf numFmtId="165" fontId="14" fillId="0" borderId="0" xfId="0" applyNumberFormat="1" applyFont="1" applyAlignment="1">
      <alignment horizontal="right" vertical="center"/>
    </xf>
    <xf numFmtId="0" fontId="14" fillId="0" borderId="0" xfId="0" applyFont="1" applyAlignment="1">
      <alignment horizontal="center" vertical="center"/>
    </xf>
    <xf numFmtId="164" fontId="15" fillId="0" borderId="0" xfId="0" applyNumberFormat="1" applyFont="1" applyAlignment="1" applyProtection="1">
      <alignment horizontal="left" vertical="center"/>
      <protection/>
    </xf>
    <xf numFmtId="166" fontId="14" fillId="0" borderId="0" xfId="17" applyNumberFormat="1" applyFont="1" applyAlignment="1">
      <alignment horizontal="center" vertical="center"/>
    </xf>
    <xf numFmtId="166" fontId="16" fillId="0" borderId="1" xfId="17" applyNumberFormat="1" applyFont="1" applyBorder="1" applyAlignment="1" applyProtection="1">
      <alignment vertical="center"/>
      <protection locked="0"/>
    </xf>
    <xf numFmtId="41" fontId="16" fillId="0" borderId="1" xfId="17" applyNumberFormat="1" applyFont="1" applyBorder="1" applyAlignment="1" applyProtection="1">
      <alignment vertical="center"/>
      <protection locked="0"/>
    </xf>
    <xf numFmtId="9" fontId="16" fillId="0" borderId="1" xfId="30" applyFont="1" applyBorder="1" applyAlignment="1" applyProtection="1">
      <alignment vertical="center"/>
      <protection locked="0"/>
    </xf>
    <xf numFmtId="43" fontId="12" fillId="2" borderId="0" xfId="17" applyFont="1" applyFill="1" applyBorder="1" applyAlignment="1" applyProtection="1">
      <alignment vertical="center"/>
      <protection locked="0"/>
    </xf>
    <xf numFmtId="44" fontId="16" fillId="0" borderId="1" xfId="22" applyFont="1" applyBorder="1" applyAlignment="1">
      <alignment vertical="center"/>
    </xf>
    <xf numFmtId="166" fontId="12" fillId="0" borderId="0" xfId="17" applyNumberFormat="1" applyFont="1" applyBorder="1" applyAlignment="1" applyProtection="1">
      <alignment vertical="center"/>
      <protection locked="0"/>
    </xf>
    <xf numFmtId="169" fontId="14" fillId="0" borderId="0" xfId="22" applyNumberFormat="1" applyFont="1" applyAlignment="1">
      <alignment vertical="center"/>
    </xf>
    <xf numFmtId="168" fontId="14" fillId="0" borderId="2" xfId="22" applyNumberFormat="1" applyFont="1" applyBorder="1" applyAlignment="1">
      <alignment vertical="center"/>
    </xf>
    <xf numFmtId="168" fontId="12" fillId="0" borderId="0" xfId="0" applyNumberFormat="1" applyFont="1" applyAlignment="1">
      <alignment vertical="center"/>
    </xf>
    <xf numFmtId="168" fontId="18" fillId="0" borderId="0" xfId="0" applyNumberFormat="1" applyFont="1" applyAlignment="1">
      <alignment vertical="center"/>
    </xf>
    <xf numFmtId="168" fontId="12" fillId="0" borderId="0" xfId="0" applyNumberFormat="1" applyFont="1" applyBorder="1" applyAlignment="1">
      <alignment vertical="center"/>
    </xf>
    <xf numFmtId="9" fontId="14" fillId="0" borderId="3" xfId="30" applyFont="1" applyBorder="1" applyAlignment="1">
      <alignment vertical="center"/>
    </xf>
    <xf numFmtId="170" fontId="14" fillId="0" borderId="3" xfId="0" applyNumberFormat="1" applyFont="1" applyBorder="1" applyAlignment="1">
      <alignment horizontal="right" vertical="center"/>
    </xf>
    <xf numFmtId="165" fontId="14" fillId="0" borderId="3" xfId="0" applyNumberFormat="1" applyFont="1" applyBorder="1" applyAlignment="1">
      <alignment vertical="center"/>
    </xf>
    <xf numFmtId="166" fontId="12" fillId="0" borderId="2" xfId="17" applyNumberFormat="1" applyFont="1" applyBorder="1" applyAlignment="1">
      <alignment vertical="center"/>
    </xf>
    <xf numFmtId="168" fontId="12" fillId="0" borderId="2" xfId="0" applyNumberFormat="1" applyFont="1" applyBorder="1" applyAlignment="1">
      <alignment vertical="center"/>
    </xf>
    <xf numFmtId="170" fontId="14" fillId="0" borderId="3" xfId="0" applyNumberFormat="1" applyFont="1" applyBorder="1" applyAlignment="1">
      <alignment vertical="center"/>
    </xf>
    <xf numFmtId="0" fontId="11" fillId="0" borderId="6" xfId="0" applyFont="1" applyBorder="1" applyAlignment="1">
      <alignment horizontal="left"/>
    </xf>
    <xf numFmtId="0" fontId="12" fillId="0" borderId="6" xfId="0" applyFont="1" applyBorder="1" applyAlignment="1">
      <alignment/>
    </xf>
    <xf numFmtId="0" fontId="12" fillId="0" borderId="7" xfId="0" applyFont="1" applyBorder="1" applyAlignment="1">
      <alignment vertical="center"/>
    </xf>
    <xf numFmtId="0" fontId="0" fillId="0" borderId="6" xfId="0" applyBorder="1" applyAlignment="1">
      <alignment/>
    </xf>
    <xf numFmtId="0" fontId="0"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0" fillId="0" borderId="3" xfId="0" applyBorder="1" applyAlignment="1">
      <alignment vertical="center"/>
    </xf>
    <xf numFmtId="165" fontId="14" fillId="0" borderId="3" xfId="30" applyNumberFormat="1" applyFont="1" applyBorder="1" applyAlignment="1">
      <alignment vertical="center"/>
    </xf>
    <xf numFmtId="0" fontId="0" fillId="0" borderId="0" xfId="0" applyBorder="1" applyAlignment="1">
      <alignment vertical="center"/>
    </xf>
    <xf numFmtId="9" fontId="16" fillId="0" borderId="1" xfId="30" applyFont="1" applyBorder="1" applyAlignment="1">
      <alignment vertical="center"/>
    </xf>
    <xf numFmtId="9" fontId="0" fillId="0" borderId="0" xfId="30" applyAlignment="1">
      <alignment vertical="center"/>
    </xf>
    <xf numFmtId="6" fontId="0" fillId="0" borderId="0" xfId="0" applyNumberFormat="1" applyAlignment="1">
      <alignment vertical="center"/>
    </xf>
    <xf numFmtId="166" fontId="12" fillId="0" borderId="8" xfId="17" applyNumberFormat="1" applyFont="1" applyBorder="1" applyAlignment="1">
      <alignment vertical="center"/>
    </xf>
    <xf numFmtId="168" fontId="14" fillId="0" borderId="3" xfId="0" applyNumberFormat="1" applyFont="1" applyBorder="1" applyAlignment="1">
      <alignment vertical="center"/>
    </xf>
    <xf numFmtId="165" fontId="14" fillId="0" borderId="0" xfId="0" applyNumberFormat="1" applyFont="1" applyAlignment="1">
      <alignment horizontal="center" vertical="center"/>
    </xf>
    <xf numFmtId="0" fontId="14" fillId="0" borderId="0" xfId="27" applyFont="1" applyAlignment="1">
      <alignment vertical="center"/>
      <protection/>
    </xf>
    <xf numFmtId="0" fontId="12" fillId="0" borderId="0" xfId="27" applyFont="1" applyAlignment="1">
      <alignment vertical="center"/>
      <protection/>
    </xf>
    <xf numFmtId="0" fontId="12" fillId="0" borderId="0" xfId="27" applyFont="1" applyAlignment="1">
      <alignment horizontal="left" vertical="center" indent="1"/>
      <protection/>
    </xf>
    <xf numFmtId="9" fontId="16" fillId="0" borderId="1" xfId="27" applyNumberFormat="1" applyFont="1" applyBorder="1" applyAlignment="1">
      <alignment vertical="center"/>
      <protection/>
    </xf>
    <xf numFmtId="0" fontId="12" fillId="0" borderId="0" xfId="27" applyFont="1" applyAlignment="1">
      <alignment horizontal="left" vertical="center"/>
      <protection/>
    </xf>
    <xf numFmtId="3" fontId="12" fillId="0" borderId="0" xfId="27" applyNumberFormat="1" applyFont="1" applyAlignment="1">
      <alignment vertical="center"/>
      <protection/>
    </xf>
    <xf numFmtId="0" fontId="16" fillId="0" borderId="1" xfId="27" applyFont="1" applyBorder="1" applyAlignment="1">
      <alignment vertical="center"/>
      <protection/>
    </xf>
    <xf numFmtId="0" fontId="12" fillId="0" borderId="0" xfId="27" applyFont="1" applyAlignment="1">
      <alignment horizontal="left" vertical="center" indent="2"/>
      <protection/>
    </xf>
    <xf numFmtId="9" fontId="20" fillId="0" borderId="1" xfId="27" applyNumberFormat="1" applyFont="1" applyBorder="1" applyAlignment="1">
      <alignment vertical="center"/>
      <protection/>
    </xf>
    <xf numFmtId="0" fontId="12" fillId="0" borderId="0" xfId="0" applyFont="1" applyAlignment="1">
      <alignment horizontal="left" vertical="center" indent="1"/>
    </xf>
    <xf numFmtId="174" fontId="14" fillId="0" borderId="2" xfId="0" applyNumberFormat="1" applyFont="1" applyBorder="1" applyAlignment="1">
      <alignment vertical="center"/>
    </xf>
    <xf numFmtId="0" fontId="12" fillId="0" borderId="2" xfId="27" applyFont="1" applyBorder="1" applyAlignment="1">
      <alignment vertical="center"/>
      <protection/>
    </xf>
    <xf numFmtId="9" fontId="12" fillId="0" borderId="0" xfId="30" applyNumberFormat="1" applyFont="1" applyAlignment="1">
      <alignment/>
    </xf>
    <xf numFmtId="2" fontId="0" fillId="0" borderId="0" xfId="0" applyNumberFormat="1" applyFont="1" applyAlignment="1">
      <alignment vertical="center"/>
    </xf>
    <xf numFmtId="44" fontId="12" fillId="0" borderId="0" xfId="22" applyFont="1" applyAlignment="1">
      <alignment vertical="center"/>
    </xf>
    <xf numFmtId="43" fontId="22" fillId="0" borderId="0" xfId="22" applyNumberFormat="1" applyFont="1" applyAlignment="1">
      <alignment vertical="center"/>
    </xf>
    <xf numFmtId="0" fontId="8" fillId="0" borderId="0" xfId="0" applyFont="1" applyAlignment="1">
      <alignment vertical="center"/>
    </xf>
    <xf numFmtId="44" fontId="1" fillId="0" borderId="0" xfId="0" applyNumberFormat="1" applyFont="1" applyAlignment="1">
      <alignment vertical="center"/>
    </xf>
    <xf numFmtId="9" fontId="24" fillId="0" borderId="0" xfId="30" applyFont="1" applyAlignment="1">
      <alignment vertical="center"/>
    </xf>
    <xf numFmtId="170" fontId="24" fillId="0" borderId="0" xfId="0" applyNumberFormat="1" applyFont="1" applyAlignment="1">
      <alignment vertical="center"/>
    </xf>
    <xf numFmtId="0" fontId="24" fillId="0" borderId="0" xfId="0" applyFont="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2" fontId="0" fillId="0" borderId="2" xfId="0" applyNumberFormat="1" applyFont="1" applyBorder="1" applyAlignment="1">
      <alignment vertical="center"/>
    </xf>
    <xf numFmtId="2" fontId="12" fillId="0" borderId="2" xfId="0" applyNumberFormat="1" applyFont="1" applyBorder="1" applyAlignment="1">
      <alignment vertical="center"/>
    </xf>
    <xf numFmtId="2" fontId="13" fillId="0" borderId="2" xfId="0" applyNumberFormat="1" applyFont="1" applyBorder="1" applyAlignment="1">
      <alignment horizontal="right" vertical="center"/>
    </xf>
    <xf numFmtId="2" fontId="12" fillId="0" borderId="2" xfId="0" applyNumberFormat="1" applyFont="1" applyBorder="1" applyAlignment="1">
      <alignment horizontal="center" vertical="center"/>
    </xf>
    <xf numFmtId="0" fontId="0" fillId="0" borderId="4" xfId="0" applyBorder="1" applyAlignment="1">
      <alignment vertical="center"/>
    </xf>
    <xf numFmtId="168" fontId="12" fillId="0" borderId="0" xfId="22" applyNumberFormat="1" applyFont="1" applyBorder="1" applyAlignment="1">
      <alignment vertical="center"/>
    </xf>
    <xf numFmtId="44" fontId="12" fillId="0" borderId="0" xfId="22" applyFont="1" applyBorder="1" applyAlignment="1">
      <alignment vertical="center"/>
    </xf>
    <xf numFmtId="167" fontId="12" fillId="0" borderId="0" xfId="22" applyNumberFormat="1" applyFont="1" applyBorder="1" applyAlignment="1">
      <alignment vertical="center"/>
    </xf>
    <xf numFmtId="43" fontId="12" fillId="0" borderId="0" xfId="22" applyNumberFormat="1" applyFont="1" applyBorder="1" applyAlignment="1">
      <alignment vertical="center"/>
    </xf>
    <xf numFmtId="165" fontId="18" fillId="0" borderId="0" xfId="30" applyNumberFormat="1" applyFont="1" applyBorder="1" applyAlignment="1">
      <alignment vertical="center"/>
    </xf>
    <xf numFmtId="167" fontId="18" fillId="0" borderId="0" xfId="22" applyNumberFormat="1" applyFont="1" applyBorder="1" applyAlignment="1">
      <alignment vertical="center"/>
    </xf>
    <xf numFmtId="43" fontId="18" fillId="0" borderId="0" xfId="22" applyNumberFormat="1" applyFont="1" applyBorder="1" applyAlignment="1">
      <alignment vertical="center"/>
    </xf>
    <xf numFmtId="0" fontId="0" fillId="0" borderId="2" xfId="0" applyBorder="1" applyAlignment="1">
      <alignment vertical="center"/>
    </xf>
    <xf numFmtId="165" fontId="12" fillId="0" borderId="2" xfId="30" applyNumberFormat="1" applyFont="1" applyBorder="1" applyAlignment="1">
      <alignment vertical="center"/>
    </xf>
    <xf numFmtId="44" fontId="12" fillId="0" borderId="2" xfId="22" applyFont="1" applyBorder="1" applyAlignment="1">
      <alignment vertical="center"/>
    </xf>
    <xf numFmtId="165" fontId="14" fillId="0" borderId="0" xfId="30" applyNumberFormat="1" applyFont="1" applyBorder="1" applyAlignment="1">
      <alignment vertical="center"/>
    </xf>
    <xf numFmtId="0" fontId="8" fillId="0" borderId="2" xfId="0" applyFont="1" applyBorder="1" applyAlignment="1">
      <alignment vertical="center"/>
    </xf>
    <xf numFmtId="0" fontId="23" fillId="0" borderId="2" xfId="0" applyFont="1" applyBorder="1" applyAlignment="1">
      <alignment vertical="center"/>
    </xf>
    <xf numFmtId="43" fontId="15" fillId="0" borderId="2" xfId="22" applyNumberFormat="1" applyFont="1" applyBorder="1" applyAlignment="1">
      <alignment vertical="center"/>
    </xf>
    <xf numFmtId="0" fontId="1" fillId="0" borderId="2" xfId="0" applyFont="1" applyBorder="1" applyAlignment="1">
      <alignment vertical="center"/>
    </xf>
    <xf numFmtId="44" fontId="14" fillId="0" borderId="2" xfId="22" applyFont="1" applyBorder="1" applyAlignment="1">
      <alignment vertical="center"/>
    </xf>
    <xf numFmtId="9" fontId="14" fillId="0" borderId="3" xfId="30" applyFont="1" applyBorder="1" applyAlignment="1">
      <alignment horizontal="center" vertical="center"/>
    </xf>
    <xf numFmtId="168" fontId="14" fillId="0" borderId="3" xfId="22" applyNumberFormat="1" applyFont="1" applyBorder="1" applyAlignment="1">
      <alignment vertical="center"/>
    </xf>
    <xf numFmtId="170" fontId="14" fillId="0" borderId="3" xfId="0" applyNumberFormat="1" applyFont="1" applyBorder="1" applyAlignment="1">
      <alignment horizontal="left"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2" fontId="12" fillId="0" borderId="11" xfId="0" applyNumberFormat="1" applyFont="1" applyBorder="1" applyAlignment="1">
      <alignment horizontal="center" vertical="center"/>
    </xf>
    <xf numFmtId="2" fontId="12" fillId="0" borderId="12" xfId="0" applyNumberFormat="1" applyFont="1" applyBorder="1" applyAlignment="1">
      <alignment horizontal="center"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168" fontId="12" fillId="0" borderId="13" xfId="22" applyNumberFormat="1" applyFont="1" applyBorder="1" applyAlignment="1">
      <alignment vertical="center"/>
    </xf>
    <xf numFmtId="44" fontId="12" fillId="0" borderId="14" xfId="22" applyFont="1" applyBorder="1" applyAlignment="1">
      <alignment vertical="center"/>
    </xf>
    <xf numFmtId="167" fontId="12" fillId="0" borderId="13" xfId="22" applyNumberFormat="1" applyFont="1" applyBorder="1" applyAlignment="1">
      <alignment vertical="center"/>
    </xf>
    <xf numFmtId="43" fontId="12" fillId="0" borderId="14" xfId="22" applyNumberFormat="1" applyFont="1" applyBorder="1" applyAlignment="1">
      <alignment vertical="center"/>
    </xf>
    <xf numFmtId="167" fontId="18" fillId="0" borderId="13" xfId="22" applyNumberFormat="1" applyFont="1" applyBorder="1" applyAlignment="1">
      <alignment vertical="center"/>
    </xf>
    <xf numFmtId="43" fontId="18" fillId="0" borderId="14" xfId="22" applyNumberFormat="1" applyFont="1" applyBorder="1" applyAlignment="1">
      <alignment vertical="center"/>
    </xf>
    <xf numFmtId="168" fontId="12" fillId="0" borderId="11" xfId="22" applyNumberFormat="1" applyFont="1" applyBorder="1" applyAlignment="1">
      <alignment vertical="center"/>
    </xf>
    <xf numFmtId="44" fontId="12" fillId="0" borderId="12" xfId="22" applyFont="1" applyBorder="1" applyAlignment="1">
      <alignment vertical="center"/>
    </xf>
    <xf numFmtId="44" fontId="12" fillId="0" borderId="13" xfId="22" applyFont="1" applyBorder="1" applyAlignment="1">
      <alignment vertical="center"/>
    </xf>
    <xf numFmtId="43" fontId="18" fillId="0" borderId="13" xfId="22" applyNumberFormat="1" applyFont="1" applyBorder="1" applyAlignment="1">
      <alignment vertical="center"/>
    </xf>
    <xf numFmtId="168" fontId="14" fillId="0" borderId="11" xfId="22" applyNumberFormat="1" applyFont="1" applyBorder="1" applyAlignment="1">
      <alignment vertical="center"/>
    </xf>
    <xf numFmtId="44" fontId="14" fillId="0" borderId="12" xfId="22"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168" fontId="18" fillId="0" borderId="13" xfId="22" applyNumberFormat="1" applyFont="1" applyBorder="1" applyAlignment="1">
      <alignment vertical="center"/>
    </xf>
    <xf numFmtId="168" fontId="12" fillId="0" borderId="9" xfId="0" applyNumberFormat="1" applyFont="1" applyBorder="1" applyAlignment="1">
      <alignment vertical="center"/>
    </xf>
    <xf numFmtId="168" fontId="14" fillId="0" borderId="15" xfId="22" applyNumberFormat="1" applyFont="1" applyBorder="1" applyAlignment="1">
      <alignment vertical="center"/>
    </xf>
    <xf numFmtId="0" fontId="12" fillId="0" borderId="6" xfId="0" applyFont="1" applyBorder="1" applyAlignment="1">
      <alignment horizontal="center"/>
    </xf>
    <xf numFmtId="0" fontId="12" fillId="0" borderId="0" xfId="0" applyFont="1" applyAlignment="1">
      <alignment horizontal="center" vertical="center"/>
    </xf>
    <xf numFmtId="3" fontId="12" fillId="0" borderId="0" xfId="0" applyNumberFormat="1" applyFont="1" applyAlignment="1">
      <alignment horizontal="center" vertical="center"/>
    </xf>
    <xf numFmtId="165" fontId="12" fillId="0" borderId="0" xfId="30" applyNumberFormat="1" applyFont="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xf>
    <xf numFmtId="165" fontId="12" fillId="0" borderId="0" xfId="30" applyNumberFormat="1" applyFont="1" applyBorder="1" applyAlignment="1">
      <alignment horizontal="center" vertical="center"/>
    </xf>
    <xf numFmtId="165" fontId="23" fillId="0" borderId="0" xfId="30" applyNumberFormat="1" applyFont="1" applyBorder="1" applyAlignment="1">
      <alignment horizontal="center" vertical="center"/>
    </xf>
    <xf numFmtId="0" fontId="14" fillId="0" borderId="2" xfId="28" applyFont="1" applyBorder="1" applyAlignment="1">
      <alignment vertical="center"/>
      <protection/>
    </xf>
    <xf numFmtId="0" fontId="12" fillId="0" borderId="0" xfId="0" applyFont="1" applyBorder="1" applyAlignment="1">
      <alignment horizontal="center" vertical="center"/>
    </xf>
    <xf numFmtId="169" fontId="12" fillId="0" borderId="0" xfId="22" applyNumberFormat="1" applyFont="1" applyBorder="1" applyAlignment="1">
      <alignment horizontal="center" vertical="center"/>
    </xf>
    <xf numFmtId="165" fontId="14" fillId="0" borderId="2" xfId="30" applyNumberFormat="1" applyFont="1" applyBorder="1" applyAlignment="1">
      <alignment horizontal="center" vertical="center"/>
    </xf>
    <xf numFmtId="3" fontId="12" fillId="0" borderId="0" xfId="0" applyNumberFormat="1" applyFont="1" applyBorder="1" applyAlignment="1">
      <alignment horizontal="center" vertical="center"/>
    </xf>
    <xf numFmtId="3" fontId="23" fillId="0" borderId="0" xfId="0" applyNumberFormat="1" applyFont="1" applyBorder="1" applyAlignment="1">
      <alignment horizontal="center" vertical="center"/>
    </xf>
    <xf numFmtId="3" fontId="14" fillId="0" borderId="2" xfId="0" applyNumberFormat="1" applyFont="1" applyBorder="1" applyAlignment="1">
      <alignment horizontal="center" vertical="center"/>
    </xf>
    <xf numFmtId="9" fontId="19" fillId="0" borderId="0" xfId="0" applyNumberFormat="1" applyFont="1" applyBorder="1" applyAlignment="1">
      <alignment horizontal="center" vertical="center"/>
    </xf>
    <xf numFmtId="0" fontId="19" fillId="0" borderId="0" xfId="0" applyFont="1" applyBorder="1" applyAlignment="1">
      <alignment vertical="center"/>
    </xf>
    <xf numFmtId="0" fontId="19" fillId="0" borderId="0" xfId="0" applyFont="1" applyBorder="1" applyAlignment="1">
      <alignment horizontal="centerContinuous" vertical="center"/>
    </xf>
    <xf numFmtId="0" fontId="19" fillId="0" borderId="2" xfId="0" applyFont="1" applyBorder="1" applyAlignment="1">
      <alignment horizontal="centerContinuous" vertical="center"/>
    </xf>
    <xf numFmtId="0" fontId="14" fillId="0" borderId="0" xfId="0" applyFont="1" applyAlignment="1">
      <alignment horizontal="left" vertical="center" indent="1"/>
    </xf>
    <xf numFmtId="173" fontId="25" fillId="0" borderId="0" xfId="0" applyNumberFormat="1" applyFont="1" applyBorder="1" applyAlignment="1">
      <alignment horizontal="right" vertical="center"/>
    </xf>
    <xf numFmtId="175" fontId="14" fillId="0" borderId="0" xfId="0" applyNumberFormat="1" applyFont="1" applyAlignment="1">
      <alignment horizontal="center" vertical="center"/>
    </xf>
    <xf numFmtId="169" fontId="14" fillId="0" borderId="0" xfId="0" applyNumberFormat="1" applyFont="1" applyAlignment="1">
      <alignment horizontal="center" vertical="center"/>
    </xf>
    <xf numFmtId="173" fontId="14" fillId="0" borderId="0" xfId="0" applyNumberFormat="1" applyFont="1" applyAlignment="1">
      <alignment horizontal="center" vertical="center"/>
    </xf>
    <xf numFmtId="169" fontId="12" fillId="0" borderId="0" xfId="22" applyNumberFormat="1" applyFont="1" applyAlignment="1">
      <alignment vertical="center"/>
    </xf>
    <xf numFmtId="0" fontId="14" fillId="0" borderId="0" xfId="0" applyFont="1" applyBorder="1" applyAlignment="1">
      <alignment horizontal="left" vertical="center"/>
    </xf>
    <xf numFmtId="0" fontId="14" fillId="0" borderId="4" xfId="0" applyFont="1" applyBorder="1" applyAlignment="1">
      <alignment horizontal="left" vertical="center"/>
    </xf>
    <xf numFmtId="0" fontId="9" fillId="0" borderId="0" xfId="0" applyFont="1" applyBorder="1" applyAlignment="1">
      <alignment horizontal="left" vertical="center"/>
    </xf>
    <xf numFmtId="0" fontId="14" fillId="0" borderId="0" xfId="0" applyFont="1" applyBorder="1" applyAlignment="1">
      <alignment horizontal="right" vertical="center"/>
    </xf>
    <xf numFmtId="173" fontId="12" fillId="0" borderId="0" xfId="0" applyNumberFormat="1" applyFont="1" applyBorder="1" applyAlignment="1">
      <alignment horizontal="center" vertical="center"/>
    </xf>
    <xf numFmtId="169" fontId="12" fillId="0" borderId="0" xfId="22" applyNumberFormat="1" applyFont="1" applyBorder="1" applyAlignment="1">
      <alignment horizontal="left" vertical="center"/>
    </xf>
    <xf numFmtId="168" fontId="12" fillId="0" borderId="0" xfId="22" applyNumberFormat="1" applyFont="1" applyBorder="1" applyAlignment="1">
      <alignment horizontal="center" vertical="center"/>
    </xf>
    <xf numFmtId="166" fontId="12" fillId="0" borderId="0" xfId="0" applyNumberFormat="1" applyFont="1" applyBorder="1" applyAlignment="1">
      <alignment horizontal="center" vertical="center"/>
    </xf>
    <xf numFmtId="166" fontId="12" fillId="0" borderId="0" xfId="0" applyNumberFormat="1" applyFont="1" applyBorder="1" applyAlignment="1">
      <alignment horizontal="left" vertical="center"/>
    </xf>
    <xf numFmtId="171" fontId="12" fillId="0" borderId="0" xfId="0" applyNumberFormat="1" applyFont="1" applyBorder="1" applyAlignment="1">
      <alignment horizontal="center" vertical="center"/>
    </xf>
    <xf numFmtId="43" fontId="12" fillId="0" borderId="0" xfId="0" applyNumberFormat="1" applyFont="1" applyBorder="1" applyAlignment="1">
      <alignment horizontal="center" vertical="center"/>
    </xf>
    <xf numFmtId="166" fontId="12" fillId="0" borderId="2" xfId="0" applyNumberFormat="1" applyFont="1" applyBorder="1" applyAlignment="1">
      <alignment horizontal="center" vertical="center"/>
    </xf>
    <xf numFmtId="166" fontId="12" fillId="0" borderId="2" xfId="0" applyNumberFormat="1" applyFont="1" applyBorder="1" applyAlignment="1">
      <alignment horizontal="left" vertical="center"/>
    </xf>
    <xf numFmtId="171" fontId="18" fillId="0" borderId="2" xfId="0" applyNumberFormat="1" applyFont="1" applyBorder="1" applyAlignment="1">
      <alignment horizontal="center" vertical="center"/>
    </xf>
    <xf numFmtId="166" fontId="12" fillId="0" borderId="0" xfId="17" applyNumberFormat="1" applyFont="1" applyBorder="1" applyAlignment="1">
      <alignment vertical="center"/>
    </xf>
    <xf numFmtId="166" fontId="18" fillId="0" borderId="0" xfId="17" applyNumberFormat="1" applyFont="1" applyBorder="1" applyAlignment="1">
      <alignment vertical="center"/>
    </xf>
    <xf numFmtId="44" fontId="18" fillId="0" borderId="0" xfId="22" applyFont="1" applyBorder="1" applyAlignment="1">
      <alignment vertical="center"/>
    </xf>
    <xf numFmtId="169" fontId="12" fillId="0" borderId="0" xfId="22" applyNumberFormat="1" applyFont="1" applyBorder="1" applyAlignment="1">
      <alignment vertical="center"/>
    </xf>
    <xf numFmtId="169" fontId="14" fillId="0" borderId="2" xfId="0" applyNumberFormat="1" applyFont="1" applyBorder="1" applyAlignment="1">
      <alignment vertical="center"/>
    </xf>
    <xf numFmtId="0" fontId="14" fillId="0" borderId="4" xfId="0" applyFont="1" applyBorder="1" applyAlignment="1">
      <alignment/>
    </xf>
    <xf numFmtId="0" fontId="12" fillId="0" borderId="4" xfId="0" applyFont="1" applyBorder="1" applyAlignment="1">
      <alignment horizontal="center"/>
    </xf>
    <xf numFmtId="0" fontId="12" fillId="0" borderId="4" xfId="0" applyFont="1" applyBorder="1" applyAlignment="1">
      <alignment/>
    </xf>
    <xf numFmtId="175" fontId="12" fillId="0" borderId="0" xfId="0" applyNumberFormat="1" applyFont="1" applyBorder="1" applyAlignment="1">
      <alignment horizontal="center"/>
    </xf>
    <xf numFmtId="49" fontId="12" fillId="0" borderId="0" xfId="0" applyNumberFormat="1" applyFont="1" applyBorder="1" applyAlignment="1">
      <alignment horizontal="left"/>
    </xf>
    <xf numFmtId="166" fontId="12" fillId="0" borderId="0" xfId="17" applyNumberFormat="1" applyFont="1" applyBorder="1" applyAlignment="1">
      <alignment/>
    </xf>
    <xf numFmtId="175" fontId="12" fillId="0" borderId="2" xfId="0" applyNumberFormat="1" applyFont="1" applyBorder="1" applyAlignment="1">
      <alignment horizontal="center"/>
    </xf>
    <xf numFmtId="49" fontId="12" fillId="0" borderId="2" xfId="0" applyNumberFormat="1" applyFont="1" applyBorder="1" applyAlignment="1">
      <alignment horizontal="left"/>
    </xf>
    <xf numFmtId="175" fontId="18" fillId="0" borderId="0" xfId="0" applyNumberFormat="1" applyFont="1" applyBorder="1" applyAlignment="1">
      <alignment horizontal="center"/>
    </xf>
    <xf numFmtId="166" fontId="18" fillId="0" borderId="0" xfId="17" applyNumberFormat="1" applyFont="1" applyBorder="1" applyAlignment="1">
      <alignment/>
    </xf>
    <xf numFmtId="175" fontId="14" fillId="0" borderId="2" xfId="0" applyNumberFormat="1" applyFont="1" applyBorder="1" applyAlignment="1">
      <alignment horizontal="center"/>
    </xf>
    <xf numFmtId="166" fontId="14" fillId="0" borderId="2" xfId="17" applyNumberFormat="1" applyFont="1" applyBorder="1" applyAlignment="1">
      <alignment/>
    </xf>
    <xf numFmtId="0" fontId="9" fillId="0" borderId="2" xfId="0" applyFont="1" applyBorder="1" applyAlignment="1">
      <alignment horizontal="left"/>
    </xf>
    <xf numFmtId="0" fontId="14" fillId="0" borderId="2" xfId="0" applyFont="1" applyBorder="1" applyAlignment="1">
      <alignment horizontal="center"/>
    </xf>
    <xf numFmtId="0" fontId="12" fillId="0" borderId="8" xfId="0" applyFont="1" applyBorder="1" applyAlignment="1">
      <alignment/>
    </xf>
    <xf numFmtId="9" fontId="12" fillId="0" borderId="0" xfId="30" applyFont="1" applyBorder="1" applyAlignment="1">
      <alignment vertical="center"/>
    </xf>
    <xf numFmtId="168" fontId="14" fillId="0" borderId="2" xfId="0" applyNumberFormat="1" applyFont="1" applyBorder="1" applyAlignment="1">
      <alignment vertical="center"/>
    </xf>
    <xf numFmtId="0" fontId="9" fillId="0" borderId="3" xfId="0" applyFont="1" applyBorder="1" applyAlignment="1">
      <alignment horizontal="left" vertical="center"/>
    </xf>
    <xf numFmtId="43" fontId="12" fillId="0" borderId="0" xfId="17" applyFont="1" applyFill="1" applyBorder="1" applyAlignment="1" applyProtection="1">
      <alignment vertical="center"/>
      <protection locked="0"/>
    </xf>
    <xf numFmtId="0" fontId="0" fillId="0" borderId="0" xfId="0" applyFill="1" applyAlignment="1">
      <alignment vertical="center"/>
    </xf>
    <xf numFmtId="44" fontId="18" fillId="0" borderId="14" xfId="22" applyFont="1" applyBorder="1" applyAlignment="1">
      <alignment vertical="center"/>
    </xf>
    <xf numFmtId="174" fontId="12" fillId="0" borderId="0" xfId="22" applyNumberFormat="1" applyFont="1" applyBorder="1" applyAlignment="1">
      <alignment vertical="center"/>
    </xf>
    <xf numFmtId="168" fontId="16" fillId="0" borderId="0" xfId="22" applyNumberFormat="1" applyFont="1" applyBorder="1" applyAlignment="1">
      <alignment vertical="center"/>
    </xf>
    <xf numFmtId="168" fontId="12" fillId="0" borderId="0" xfId="22" applyNumberFormat="1" applyFont="1" applyAlignment="1">
      <alignment vertical="center"/>
    </xf>
    <xf numFmtId="169" fontId="16" fillId="0" borderId="0" xfId="22" applyNumberFormat="1" applyFont="1" applyBorder="1" applyAlignment="1">
      <alignment vertical="center"/>
    </xf>
    <xf numFmtId="41" fontId="16" fillId="0" borderId="0" xfId="17" applyNumberFormat="1" applyFont="1" applyBorder="1" applyAlignment="1" applyProtection="1">
      <alignment vertical="center"/>
      <protection locked="0"/>
    </xf>
    <xf numFmtId="9" fontId="16" fillId="0" borderId="5" xfId="30" applyFont="1" applyBorder="1" applyAlignment="1">
      <alignment vertical="center"/>
    </xf>
    <xf numFmtId="180" fontId="14" fillId="0" borderId="0" xfId="0" applyNumberFormat="1" applyFont="1" applyAlignment="1">
      <alignment vertical="center"/>
    </xf>
    <xf numFmtId="0" fontId="14" fillId="0" borderId="17" xfId="0" applyFont="1" applyBorder="1" applyAlignment="1">
      <alignment horizontal="center"/>
    </xf>
    <xf numFmtId="0" fontId="14" fillId="0" borderId="3" xfId="0" applyFont="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3" borderId="0" xfId="0" applyFont="1" applyFill="1" applyBorder="1" applyAlignment="1">
      <alignment horizontal="center" vertical="center"/>
    </xf>
    <xf numFmtId="0" fontId="21" fillId="4" borderId="0" xfId="0" applyFont="1" applyFill="1" applyBorder="1" applyAlignment="1">
      <alignment horizontal="center" vertical="center"/>
    </xf>
    <xf numFmtId="166" fontId="14" fillId="0" borderId="0" xfId="17" applyNumberFormat="1" applyFont="1" applyAlignment="1">
      <alignment horizontal="center" vertical="center"/>
    </xf>
  </cellXfs>
  <cellStyles count="20">
    <cellStyle name="Normal" xfId="0"/>
    <cellStyle name="Bold" xfId="15"/>
    <cellStyle name="Column Head" xfId="16"/>
    <cellStyle name="Comma" xfId="17"/>
    <cellStyle name="Comma (0)" xfId="18"/>
    <cellStyle name="Comma (1)" xfId="19"/>
    <cellStyle name="Comma (2)" xfId="20"/>
    <cellStyle name="Comma [0]" xfId="21"/>
    <cellStyle name="Currency" xfId="22"/>
    <cellStyle name="Currency (0)" xfId="23"/>
    <cellStyle name="Currency (1)" xfId="24"/>
    <cellStyle name="Currency (2)" xfId="25"/>
    <cellStyle name="Currency [0]" xfId="26"/>
    <cellStyle name="Normal_BASELINE" xfId="27"/>
    <cellStyle name="Normal_Book2_1" xfId="28"/>
    <cellStyle name="Number (0)" xfId="29"/>
    <cellStyle name="Percent" xfId="30"/>
    <cellStyle name="Percent (0)" xfId="31"/>
    <cellStyle name="Percent (1)" xfId="32"/>
    <cellStyle name="Percent (2)"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JECT\13100's\13110\PROPOSAL\36000'S\36511\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ROJECT\13100's\13110\PROJECT\12500'S\12572\FIN1\FINAL\PREFI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ROJECT\12600'S\12651\MRK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2"/>
      <sheetName val="summary"/>
      <sheetName val="consolsum"/>
      <sheetName val="CAM allocation"/>
      <sheetName val="cost_benefits"/>
      <sheetName val="sum_performance"/>
      <sheetName val="for profit"/>
      <sheetName val="Island oper chart"/>
      <sheetName val="jobs"/>
      <sheetName val="construction"/>
      <sheetName val="retail-sales tax"/>
      <sheetName val="hoteltax"/>
      <sheetName val="print instructions"/>
      <sheetName val="Inn"/>
      <sheetName val="Budget Apt."/>
      <sheetName val="ResortConf"/>
      <sheetName val="Spa"/>
      <sheetName val="Banquets"/>
      <sheetName val="Youth Hostel"/>
      <sheetName val="Marina"/>
      <sheetName val="Artisans"/>
      <sheetName val="colonel'srow"/>
      <sheetName val="visitor"/>
      <sheetName val="ferry"/>
      <sheetName val="non-profs"/>
      <sheetName val="prefin-"/>
      <sheetName val="attendance"/>
      <sheetName val="Resortconf_inputs"/>
      <sheetName val="Spa-att"/>
      <sheetName val="Inne"/>
      <sheetName val="budget"/>
      <sheetName val="youthfest"/>
      <sheetName val="weddings"/>
      <sheetName val="histroy"/>
      <sheetName val="insti"/>
      <sheetName val="amphmarina"/>
      <sheetName val="sportspark"/>
      <sheetName val="parkvisitors (2)"/>
      <sheetName val="mrkts"/>
      <sheetName val="retailcapt"/>
      <sheetName val="retailcapt (2)"/>
      <sheetName val="season-calc"/>
      <sheetName val="weekend"/>
      <sheetName val="do not ptint"/>
      <sheetName val="empl"/>
      <sheetName val="toronto"/>
      <sheetName val="parkvisitors"/>
      <sheetName val="park visitation"/>
      <sheetName val="summary tax"/>
      <sheetName val="chart data"/>
      <sheetName val="chartdata2"/>
      <sheetName val="artschool"/>
      <sheetName val="cultural"/>
      <sheetName val="Nola Park Inst."/>
      <sheetName val="Youth Edu."/>
      <sheetName val="unus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ttendance"/>
      <sheetName val="season-calc"/>
      <sheetName val="weekend"/>
      <sheetName val="Resortconf"/>
      <sheetName val="Inne"/>
      <sheetName val="budget"/>
      <sheetName val="youthfest"/>
      <sheetName val="weddings"/>
      <sheetName val="histroy"/>
      <sheetName val="insti"/>
      <sheetName val="amphmarina"/>
      <sheetName val="sportspark"/>
      <sheetName val="park visitation"/>
      <sheetName val="parkvisitors (2)"/>
      <sheetName val="parkvisitors"/>
      <sheetName val="toronto"/>
      <sheetName val="Sheet2"/>
      <sheetName val="mrkts"/>
      <sheetName val="empl"/>
      <sheetName val="retailcapt"/>
      <sheetName val="retailcapt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w gamers"/>
      <sheetName val="Title Input"/>
      <sheetName val="Avail Markets Summ"/>
      <sheetName val="visitation Sum"/>
      <sheetName val="RESIDENT Input"/>
      <sheetName val="overnightInput"/>
      <sheetName val="ONSITE Input"/>
      <sheetName val="Visitation Summ"/>
      <sheetName val="Expenditures Summ"/>
      <sheetName val="Sector 2 Input"/>
      <sheetName val="Sector 2 Summary"/>
      <sheetName val="Sector 3 Summary"/>
      <sheetName val="Sector 1 Summary"/>
      <sheetName val="Sector 4 Summary"/>
      <sheetName val="Module2"/>
      <sheetName val="Module3"/>
      <sheetName val="Module6"/>
      <sheetName val="Module1"/>
      <sheetName val="Module7"/>
      <sheetName val="Module9"/>
      <sheetName val="Module4"/>
      <sheetName val="Module5"/>
      <sheetName val="Module8"/>
      <sheetName val="Module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91"/>
  <sheetViews>
    <sheetView tabSelected="1" zoomScale="75" zoomScaleNormal="75" workbookViewId="0" topLeftCell="A1">
      <selection activeCell="B1" sqref="B1"/>
    </sheetView>
  </sheetViews>
  <sheetFormatPr defaultColWidth="9.00390625" defaultRowHeight="15.75"/>
  <cols>
    <col min="1" max="1" width="3.125" style="0" customWidth="1"/>
    <col min="2" max="2" width="23.75390625" style="0" customWidth="1"/>
    <col min="3" max="3" width="5.375" style="0" bestFit="1" customWidth="1"/>
    <col min="4" max="5" width="12.875" style="0" customWidth="1"/>
    <col min="6" max="6" width="17.00390625" style="0" bestFit="1" customWidth="1"/>
    <col min="7" max="8" width="13.125" style="0" customWidth="1"/>
    <col min="9" max="11" width="13.125" style="0" bestFit="1" customWidth="1"/>
    <col min="12" max="12" width="12.50390625" style="0" bestFit="1" customWidth="1"/>
    <col min="13" max="16" width="12.50390625" style="0" customWidth="1"/>
    <col min="17" max="17" width="13.50390625" style="0" customWidth="1"/>
    <col min="18" max="18" width="13.50390625" style="0" bestFit="1" customWidth="1"/>
  </cols>
  <sheetData>
    <row r="1" spans="1:18" ht="18.75" thickTop="1">
      <c r="A1" s="113" t="s">
        <v>98</v>
      </c>
      <c r="B1" s="116"/>
      <c r="C1" s="116"/>
      <c r="D1" s="116"/>
      <c r="E1" s="116"/>
      <c r="F1" s="116"/>
      <c r="G1" s="116"/>
      <c r="H1" s="116"/>
      <c r="I1" s="116"/>
      <c r="J1" s="116"/>
      <c r="K1" s="116"/>
      <c r="L1" s="116"/>
      <c r="M1" s="116"/>
      <c r="N1" s="116"/>
      <c r="O1" s="116"/>
      <c r="P1" s="116"/>
      <c r="Q1" s="116"/>
      <c r="R1" s="116"/>
    </row>
    <row r="2" ht="18">
      <c r="A2" s="13" t="s">
        <v>97</v>
      </c>
    </row>
    <row r="3" ht="18">
      <c r="A3" s="12" t="s">
        <v>93</v>
      </c>
    </row>
    <row r="4" ht="15.75">
      <c r="A4" s="50" t="s">
        <v>136</v>
      </c>
    </row>
    <row r="5" ht="18.75">
      <c r="B5" s="1"/>
    </row>
    <row r="6" spans="1:18" s="19" customFormat="1" ht="19.5" customHeight="1">
      <c r="A6" s="47"/>
      <c r="B6" s="262"/>
      <c r="C6" s="47"/>
      <c r="D6" s="78" t="s">
        <v>3</v>
      </c>
      <c r="E6" s="78" t="s">
        <v>4</v>
      </c>
      <c r="F6" s="78" t="s">
        <v>5</v>
      </c>
      <c r="G6" s="78" t="s">
        <v>6</v>
      </c>
      <c r="H6" s="78" t="s">
        <v>7</v>
      </c>
      <c r="I6" s="78" t="s">
        <v>8</v>
      </c>
      <c r="J6" s="78" t="s">
        <v>9</v>
      </c>
      <c r="K6" s="78" t="s">
        <v>10</v>
      </c>
      <c r="L6" s="78" t="s">
        <v>11</v>
      </c>
      <c r="M6" s="78" t="s">
        <v>12</v>
      </c>
      <c r="N6" s="78" t="s">
        <v>13</v>
      </c>
      <c r="O6" s="78" t="s">
        <v>14</v>
      </c>
      <c r="P6" s="78" t="s">
        <v>15</v>
      </c>
      <c r="Q6" s="78" t="s">
        <v>16</v>
      </c>
      <c r="R6" s="78" t="s">
        <v>17</v>
      </c>
    </row>
    <row r="7" s="19" customFormat="1" ht="19.5" customHeight="1"/>
    <row r="8" spans="1:18" s="51" customFormat="1" ht="19.5" customHeight="1">
      <c r="A8" s="48"/>
      <c r="B8" s="68" t="s">
        <v>86</v>
      </c>
      <c r="C8" s="48"/>
      <c r="D8" s="48"/>
      <c r="E8" s="48"/>
      <c r="F8" s="48"/>
      <c r="G8" s="48"/>
      <c r="H8" s="48"/>
      <c r="I8" s="48"/>
      <c r="J8" s="48"/>
      <c r="K8" s="48"/>
      <c r="L8" s="48"/>
      <c r="M8" s="48"/>
      <c r="N8" s="48"/>
      <c r="O8" s="48"/>
      <c r="P8" s="48"/>
      <c r="Q8" s="48"/>
      <c r="R8" s="48"/>
    </row>
    <row r="9" spans="1:18" s="19" customFormat="1" ht="19.5" customHeight="1">
      <c r="A9" s="51"/>
      <c r="B9" s="51" t="str">
        <f>+'Development Program'!B10</f>
        <v>Rental Housing</v>
      </c>
      <c r="C9" s="51"/>
      <c r="D9" s="157">
        <f>+'Rental Housing'!E20</f>
        <v>0</v>
      </c>
      <c r="E9" s="157">
        <f>+'Rental Housing'!F20</f>
        <v>1312.3078384000003</v>
      </c>
      <c r="F9" s="157">
        <f>+'Rental Housing'!G20</f>
        <v>2703.354147104</v>
      </c>
      <c r="G9" s="157">
        <f>+'Rental Housing'!H20</f>
        <v>4524.739003715321</v>
      </c>
      <c r="H9" s="157">
        <f>+'Rental Housing'!I20</f>
        <v>6452.973932990926</v>
      </c>
      <c r="I9" s="157">
        <f>+'Rental Housing'!J20</f>
        <v>6646.563150980655</v>
      </c>
      <c r="J9" s="157">
        <f>+'Rental Housing'!K20</f>
        <v>6845.960045510075</v>
      </c>
      <c r="K9" s="157">
        <f>+'Rental Housing'!L20</f>
        <v>7051.338846875378</v>
      </c>
      <c r="L9" s="157">
        <f>+'Rental Housing'!M20</f>
        <v>7262.87901228164</v>
      </c>
      <c r="M9" s="157">
        <f>+'Rental Housing'!N20</f>
        <v>7480.765382650089</v>
      </c>
      <c r="N9" s="157">
        <f>+'Rental Housing'!O20</f>
        <v>7705.188344129592</v>
      </c>
      <c r="O9" s="157">
        <f>+'Rental Housing'!P20</f>
        <v>7936.343994453482</v>
      </c>
      <c r="P9" s="157">
        <f>+'Rental Housing'!Q20</f>
        <v>8174.434314287088</v>
      </c>
      <c r="Q9" s="157">
        <f>+'Rental Housing'!R20</f>
        <v>8419.667343715699</v>
      </c>
      <c r="R9" s="157">
        <f>+'Rental Housing'!S20</f>
        <v>8672.257364027166</v>
      </c>
    </row>
    <row r="10" spans="1:18" s="19" customFormat="1" ht="19.5" customHeight="1">
      <c r="A10" s="51"/>
      <c r="B10" s="51" t="str">
        <f>+'Development Program'!B11</f>
        <v>For-sale Housing</v>
      </c>
      <c r="C10" s="51"/>
      <c r="D10" s="159">
        <f>+'For-sale housing'!E20</f>
        <v>0</v>
      </c>
      <c r="E10" s="159">
        <f>+'For-sale housing'!F20</f>
        <v>8940.076992</v>
      </c>
      <c r="F10" s="159">
        <f>+'For-sale housing'!G20</f>
        <v>9208.27930176</v>
      </c>
      <c r="G10" s="159">
        <f>+'For-sale housing'!H20</f>
        <v>12646.036907750402</v>
      </c>
      <c r="H10" s="159">
        <f>+'For-sale housing'!I20</f>
        <v>0</v>
      </c>
      <c r="I10" s="159">
        <f>+'For-sale housing'!J20</f>
        <v>0</v>
      </c>
      <c r="J10" s="159">
        <f>+'For-sale housing'!K20</f>
        <v>0</v>
      </c>
      <c r="K10" s="159">
        <f>+'For-sale housing'!L20</f>
        <v>0</v>
      </c>
      <c r="L10" s="159">
        <f>+'For-sale housing'!M20</f>
        <v>0</v>
      </c>
      <c r="M10" s="159">
        <f>+'For-sale housing'!N20</f>
        <v>0</v>
      </c>
      <c r="N10" s="159">
        <f>+'For-sale housing'!O20</f>
        <v>0</v>
      </c>
      <c r="O10" s="159">
        <f>+'For-sale housing'!P20</f>
        <v>0</v>
      </c>
      <c r="P10" s="159">
        <f>+'For-sale housing'!Q20</f>
        <v>0</v>
      </c>
      <c r="Q10" s="159">
        <f>+'For-sale housing'!R20</f>
        <v>0</v>
      </c>
      <c r="R10" s="159">
        <f>+'For-sale housing'!S20</f>
        <v>0</v>
      </c>
    </row>
    <row r="11" spans="1:18" s="19" customFormat="1" ht="19.5" customHeight="1">
      <c r="A11" s="51"/>
      <c r="B11" s="51" t="str">
        <f>+'Development Program'!B12</f>
        <v>Office/Commercial</v>
      </c>
      <c r="C11" s="51"/>
      <c r="D11" s="159">
        <f>+'Office-Commercial'!E19</f>
        <v>0</v>
      </c>
      <c r="E11" s="159">
        <f>+'Office-Commercial'!F19</f>
        <v>861.6300000000001</v>
      </c>
      <c r="F11" s="159">
        <f>+'Office-Commercial'!G19</f>
        <v>1772.5638</v>
      </c>
      <c r="G11" s="159">
        <f>+'Office-Commercial'!H19</f>
        <v>3659.689428</v>
      </c>
      <c r="H11" s="159">
        <f>+'Office-Commercial'!I19</f>
        <v>5633.956666259999</v>
      </c>
      <c r="I11" s="159">
        <f>+'Office-Commercial'!J19</f>
        <v>7736.274488330399</v>
      </c>
      <c r="J11" s="159">
        <f>+'Office-Commercial'!K19</f>
        <v>9990.37840372539</v>
      </c>
      <c r="K11" s="159">
        <f>+'Office-Commercial'!L19</f>
        <v>12830.549694796438</v>
      </c>
      <c r="L11" s="159">
        <f>+'Office-Commercial'!M19</f>
        <v>15866.895672768398</v>
      </c>
      <c r="M11" s="159">
        <f>+'Office-Commercial'!N19</f>
        <v>16332.001292951449</v>
      </c>
      <c r="N11" s="159">
        <f>+'Office-Commercial'!O19</f>
        <v>16855.947581739994</v>
      </c>
      <c r="O11" s="159">
        <f>+'Office-Commercial'!P19</f>
        <v>17374.45100919219</v>
      </c>
      <c r="P11" s="159">
        <f>+'Office-Commercial'!Q19</f>
        <v>17887.348289467962</v>
      </c>
      <c r="Q11" s="159">
        <f>+'Office-Commercial'!R19</f>
        <v>18394.471238151993</v>
      </c>
      <c r="R11" s="159">
        <f>+'Office-Commercial'!S19</f>
        <v>18959.771625296555</v>
      </c>
    </row>
    <row r="12" spans="1:18" s="19" customFormat="1" ht="19.5" customHeight="1">
      <c r="A12" s="51"/>
      <c r="B12" s="51" t="str">
        <f>+'Development Program'!B13</f>
        <v>Retail</v>
      </c>
      <c r="C12" s="51"/>
      <c r="D12" s="159">
        <f>+Retail!E18</f>
        <v>0</v>
      </c>
      <c r="E12" s="159">
        <f>+Retail!F18</f>
        <v>0</v>
      </c>
      <c r="F12" s="159">
        <f>+Retail!G18</f>
        <v>0</v>
      </c>
      <c r="G12" s="159">
        <f>+Retail!H18</f>
        <v>2905.4701545</v>
      </c>
      <c r="H12" s="159">
        <f>+Retail!I18</f>
        <v>4351.303925745749</v>
      </c>
      <c r="I12" s="159">
        <f>+Retail!J18</f>
        <v>5092.347540899932</v>
      </c>
      <c r="J12" s="159">
        <f>+Retail!K18</f>
        <v>6361.138748032643</v>
      </c>
      <c r="K12" s="159">
        <f>+Retail!L18</f>
        <v>7367.122024282825</v>
      </c>
      <c r="L12" s="159">
        <f>+Retail!M18</f>
        <v>8442.186872234788</v>
      </c>
      <c r="M12" s="159">
        <f>+Retail!N18</f>
        <v>8673.364978401833</v>
      </c>
      <c r="N12" s="159">
        <f>+Retail!O18</f>
        <v>8950.428427753886</v>
      </c>
      <c r="O12" s="159">
        <f>+Retail!P18</f>
        <v>9225.828780586504</v>
      </c>
      <c r="P12" s="159">
        <f>+Retail!Q18</f>
        <v>9499.516144004097</v>
      </c>
      <c r="Q12" s="159">
        <f>+Retail!R18</f>
        <v>9771.439128324222</v>
      </c>
      <c r="R12" s="159">
        <f>+Retail!S18</f>
        <v>10065.294802173948</v>
      </c>
    </row>
    <row r="13" spans="1:18" s="19" customFormat="1" ht="19.5" customHeight="1">
      <c r="A13" s="51"/>
      <c r="B13" s="51" t="str">
        <f>+'Development Program'!B14</f>
        <v>Hotel</v>
      </c>
      <c r="C13" s="51"/>
      <c r="D13" s="159">
        <f>+Hotel!E21</f>
        <v>0</v>
      </c>
      <c r="E13" s="159">
        <f>+Hotel!F21</f>
        <v>0</v>
      </c>
      <c r="F13" s="159">
        <f>+Hotel!G21</f>
        <v>0</v>
      </c>
      <c r="G13" s="159">
        <f>+Hotel!H21</f>
        <v>0</v>
      </c>
      <c r="H13" s="159">
        <f>+Hotel!I21</f>
        <v>0</v>
      </c>
      <c r="I13" s="159">
        <f>+Hotel!J21</f>
        <v>0</v>
      </c>
      <c r="J13" s="159">
        <f>+Hotel!K21</f>
        <v>7791.967216005774</v>
      </c>
      <c r="K13" s="159">
        <f>+Hotel!L21</f>
        <v>8025.726232485948</v>
      </c>
      <c r="L13" s="159">
        <f>+Hotel!M21</f>
        <v>8266.49801946053</v>
      </c>
      <c r="M13" s="159">
        <f>+Hotel!N21</f>
        <v>8514.492960044347</v>
      </c>
      <c r="N13" s="159">
        <f>+Hotel!O21</f>
        <v>8769.927748845676</v>
      </c>
      <c r="O13" s="159">
        <f>+Hotel!P21</f>
        <v>9033.025581311045</v>
      </c>
      <c r="P13" s="159">
        <f>+Hotel!Q21</f>
        <v>9304.016348750378</v>
      </c>
      <c r="Q13" s="159">
        <f>+Hotel!R21</f>
        <v>9583.13683921289</v>
      </c>
      <c r="R13" s="159">
        <f>+Hotel!S21</f>
        <v>9870.630944389275</v>
      </c>
    </row>
    <row r="14" spans="1:18" s="19" customFormat="1" ht="19.5" customHeight="1">
      <c r="A14" s="51"/>
      <c r="B14" s="51" t="str">
        <f>+'Development Program'!B15</f>
        <v>Structured Parking</v>
      </c>
      <c r="C14" s="51"/>
      <c r="D14" s="162">
        <f>+'Structured Parking'!E33</f>
        <v>0</v>
      </c>
      <c r="E14" s="162">
        <f>+'Structured Parking'!F33</f>
        <v>290.6389423828125</v>
      </c>
      <c r="F14" s="162">
        <f>+'Structured Parking'!G33</f>
        <v>598.7162213085937</v>
      </c>
      <c r="G14" s="162">
        <f>+'Structured Parking'!H33</f>
        <v>1850.0331238435547</v>
      </c>
      <c r="H14" s="162">
        <f>+'Structured Parking'!I33</f>
        <v>2826.5422743789777</v>
      </c>
      <c r="I14" s="162">
        <f>+'Structured Parking'!J33</f>
        <v>3696.4185990445985</v>
      </c>
      <c r="J14" s="162">
        <f>+'Structured Parking'!K33</f>
        <v>4717.022672409124</v>
      </c>
      <c r="K14" s="162">
        <f>+'Structured Parking'!L33</f>
        <v>5899.64764242027</v>
      </c>
      <c r="L14" s="162">
        <f>+'Structured Parking'!M33</f>
        <v>7148.984790226916</v>
      </c>
      <c r="M14" s="162">
        <f>+'Structured Parking'!N33</f>
        <v>7363.454333933722</v>
      </c>
      <c r="N14" s="162">
        <f>+'Structured Parking'!O33</f>
        <v>7584.357963951734</v>
      </c>
      <c r="O14" s="162">
        <f>+'Structured Parking'!P33</f>
        <v>7811.8887028702875</v>
      </c>
      <c r="P14" s="162">
        <f>+'Structured Parking'!Q33</f>
        <v>8046.2453639563955</v>
      </c>
      <c r="Q14" s="162">
        <f>+'Structured Parking'!R33</f>
        <v>8287.632724875088</v>
      </c>
      <c r="R14" s="162">
        <f>+'Structured Parking'!S33</f>
        <v>8536.261706621342</v>
      </c>
    </row>
    <row r="15" spans="1:18" s="40" customFormat="1" ht="19.5" customHeight="1">
      <c r="A15" s="54"/>
      <c r="B15" s="54" t="s">
        <v>94</v>
      </c>
      <c r="C15" s="54"/>
      <c r="D15" s="103">
        <f>SUM(D9:D14)</f>
        <v>0</v>
      </c>
      <c r="E15" s="103">
        <f aca="true" t="shared" si="0" ref="E15:R15">SUM(E9:E14)</f>
        <v>11404.653772782813</v>
      </c>
      <c r="F15" s="103">
        <f t="shared" si="0"/>
        <v>14282.913470172592</v>
      </c>
      <c r="G15" s="103">
        <f t="shared" si="0"/>
        <v>25585.968617809278</v>
      </c>
      <c r="H15" s="103">
        <f t="shared" si="0"/>
        <v>19264.776799375653</v>
      </c>
      <c r="I15" s="103">
        <f t="shared" si="0"/>
        <v>23171.603779255587</v>
      </c>
      <c r="J15" s="103">
        <f t="shared" si="0"/>
        <v>35706.46708568301</v>
      </c>
      <c r="K15" s="103">
        <f t="shared" si="0"/>
        <v>41174.38444086086</v>
      </c>
      <c r="L15" s="103">
        <f t="shared" si="0"/>
        <v>46987.444366972275</v>
      </c>
      <c r="M15" s="103">
        <f t="shared" si="0"/>
        <v>48364.07894798144</v>
      </c>
      <c r="N15" s="103">
        <f t="shared" si="0"/>
        <v>49865.85006642088</v>
      </c>
      <c r="O15" s="103">
        <f t="shared" si="0"/>
        <v>51381.538068413516</v>
      </c>
      <c r="P15" s="103">
        <f t="shared" si="0"/>
        <v>52911.560460465924</v>
      </c>
      <c r="Q15" s="103">
        <f t="shared" si="0"/>
        <v>54456.34727427989</v>
      </c>
      <c r="R15" s="103">
        <f t="shared" si="0"/>
        <v>56104.21644250829</v>
      </c>
    </row>
    <row r="16" spans="4:18" s="19" customFormat="1" ht="19.5" customHeight="1">
      <c r="D16" s="225"/>
      <c r="E16" s="225"/>
      <c r="F16" s="225"/>
      <c r="G16" s="225"/>
      <c r="H16" s="225"/>
      <c r="I16" s="225"/>
      <c r="J16" s="225"/>
      <c r="K16" s="225"/>
      <c r="L16" s="225"/>
      <c r="M16" s="225"/>
      <c r="N16" s="225"/>
      <c r="O16" s="225"/>
      <c r="P16" s="225"/>
      <c r="Q16" s="225"/>
      <c r="R16" s="225"/>
    </row>
    <row r="17" spans="4:18" s="19" customFormat="1" ht="19.5" customHeight="1">
      <c r="D17" s="225"/>
      <c r="E17" s="225"/>
      <c r="F17" s="225"/>
      <c r="G17" s="225"/>
      <c r="H17" s="225"/>
      <c r="I17" s="225"/>
      <c r="J17" s="225"/>
      <c r="K17" s="225"/>
      <c r="L17" s="225"/>
      <c r="M17" s="225"/>
      <c r="N17" s="225"/>
      <c r="O17" s="225"/>
      <c r="P17" s="225"/>
      <c r="Q17" s="225"/>
      <c r="R17" s="225"/>
    </row>
    <row r="18" spans="1:18" s="51" customFormat="1" ht="19.5" customHeight="1">
      <c r="A18" s="48"/>
      <c r="B18" s="68" t="s">
        <v>88</v>
      </c>
      <c r="C18" s="48"/>
      <c r="D18" s="48"/>
      <c r="E18" s="48"/>
      <c r="F18" s="48"/>
      <c r="G18" s="48"/>
      <c r="H18" s="48"/>
      <c r="I18" s="48"/>
      <c r="J18" s="48"/>
      <c r="K18" s="48"/>
      <c r="L18" s="48"/>
      <c r="M18" s="48"/>
      <c r="N18" s="48"/>
      <c r="O18" s="48"/>
      <c r="P18" s="48"/>
      <c r="Q18" s="48"/>
      <c r="R18" s="48"/>
    </row>
    <row r="19" spans="1:18" s="19" customFormat="1" ht="19.5" customHeight="1">
      <c r="A19" s="51"/>
      <c r="B19" s="51" t="str">
        <f aca="true" t="shared" si="1" ref="B19:B24">+B9</f>
        <v>Rental Housing</v>
      </c>
      <c r="C19" s="51"/>
      <c r="D19" s="157">
        <f>+'Rental Housing'!E28</f>
        <v>17233.76416819013</v>
      </c>
      <c r="E19" s="157">
        <f>+'Rental Housing'!F28</f>
        <v>15170.869999999999</v>
      </c>
      <c r="F19" s="157">
        <f>+'Rental Housing'!G28</f>
        <v>19532.495125</v>
      </c>
      <c r="G19" s="157">
        <f>+'Rental Housing'!H28</f>
        <v>20118.469978750003</v>
      </c>
      <c r="H19" s="157">
        <f>+'Rental Housing'!I28</f>
        <v>0</v>
      </c>
      <c r="I19" s="157">
        <f>+'Rental Housing'!J28</f>
        <v>0</v>
      </c>
      <c r="J19" s="157">
        <f>+'Rental Housing'!K28</f>
        <v>0</v>
      </c>
      <c r="K19" s="157">
        <f>+'Rental Housing'!L28</f>
        <v>0</v>
      </c>
      <c r="L19" s="157">
        <f>+'Rental Housing'!M28</f>
        <v>0</v>
      </c>
      <c r="M19" s="157">
        <f>+'Rental Housing'!N28</f>
        <v>0</v>
      </c>
      <c r="N19" s="157">
        <f>+'Rental Housing'!O28</f>
        <v>0</v>
      </c>
      <c r="O19" s="157">
        <f>+'Rental Housing'!P28</f>
        <v>0</v>
      </c>
      <c r="P19" s="157">
        <f>+'Rental Housing'!Q28</f>
        <v>0</v>
      </c>
      <c r="Q19" s="157">
        <f>+'Rental Housing'!R28</f>
        <v>0</v>
      </c>
      <c r="R19" s="157">
        <f>+'Rental Housing'!S28</f>
        <v>0</v>
      </c>
    </row>
    <row r="20" spans="1:18" s="19" customFormat="1" ht="19.5" customHeight="1">
      <c r="A20" s="51"/>
      <c r="B20" s="51" t="str">
        <f t="shared" si="1"/>
        <v>For-sale Housing</v>
      </c>
      <c r="C20" s="51"/>
      <c r="D20" s="159">
        <f>+'For-sale housing'!E$27</f>
        <v>8538.33281535649</v>
      </c>
      <c r="E20" s="159">
        <f>+'For-sale housing'!F$27</f>
        <v>7877.1825</v>
      </c>
      <c r="F20" s="159">
        <f>+'For-sale housing'!G$27</f>
        <v>10817.9973</v>
      </c>
      <c r="G20" s="159">
        <f>+'For-sale housing'!H$27</f>
        <v>0</v>
      </c>
      <c r="H20" s="159">
        <f>+'For-sale housing'!I$27</f>
        <v>0</v>
      </c>
      <c r="I20" s="159">
        <f>+'For-sale housing'!J$27</f>
        <v>0</v>
      </c>
      <c r="J20" s="159">
        <f>+'For-sale housing'!K$27</f>
        <v>0</v>
      </c>
      <c r="K20" s="159">
        <f>+'For-sale housing'!L$27</f>
        <v>0</v>
      </c>
      <c r="L20" s="159">
        <f>+'For-sale housing'!M$27</f>
        <v>0</v>
      </c>
      <c r="M20" s="159">
        <f>+'For-sale housing'!N$27</f>
        <v>0</v>
      </c>
      <c r="N20" s="159">
        <f>+'For-sale housing'!O$27</f>
        <v>0</v>
      </c>
      <c r="O20" s="159">
        <f>+'For-sale housing'!P$27</f>
        <v>0</v>
      </c>
      <c r="P20" s="159">
        <f>+'For-sale housing'!Q$27</f>
        <v>0</v>
      </c>
      <c r="Q20" s="159">
        <f>+'For-sale housing'!R$27</f>
        <v>0</v>
      </c>
      <c r="R20" s="159">
        <f>+'For-sale housing'!S$27</f>
        <v>0</v>
      </c>
    </row>
    <row r="21" spans="1:18" s="19" customFormat="1" ht="19.5" customHeight="1">
      <c r="A21" s="51"/>
      <c r="B21" s="51" t="str">
        <f t="shared" si="1"/>
        <v>Office/Commercial</v>
      </c>
      <c r="C21" s="51"/>
      <c r="D21" s="159">
        <f>+'Office-Commercial'!E$27</f>
        <v>11573.707038391225</v>
      </c>
      <c r="E21" s="159">
        <f>+'Office-Commercial'!F$27</f>
        <v>9627.6675</v>
      </c>
      <c r="F21" s="159">
        <f>+'Office-Commercial'!G$27</f>
        <v>19832.99505</v>
      </c>
      <c r="G21" s="159">
        <f>+'Office-Commercial'!H$27</f>
        <v>20427.984901500007</v>
      </c>
      <c r="H21" s="159">
        <f>+'Office-Commercial'!I$27</f>
        <v>21040.824448544998</v>
      </c>
      <c r="I21" s="159">
        <f>+'Office-Commercial'!J$27</f>
        <v>23930.488863882343</v>
      </c>
      <c r="J21" s="159">
        <f>+'Office-Commercial'!K$27</f>
        <v>27902.763321826755</v>
      </c>
      <c r="K21" s="159">
        <f>+'Office-Commercial'!L$27</f>
        <v>28739.84622148154</v>
      </c>
      <c r="L21" s="159">
        <f>+'Office-Commercial'!M$27</f>
        <v>0</v>
      </c>
      <c r="M21" s="159">
        <f>+'Office-Commercial'!N$27</f>
        <v>0</v>
      </c>
      <c r="N21" s="159">
        <f>+'Office-Commercial'!O$27</f>
        <v>0</v>
      </c>
      <c r="O21" s="159">
        <f>+'Office-Commercial'!P$27</f>
        <v>0</v>
      </c>
      <c r="P21" s="159">
        <f>+'Office-Commercial'!Q$27</f>
        <v>0</v>
      </c>
      <c r="Q21" s="159">
        <f>+'Office-Commercial'!R$27</f>
        <v>0</v>
      </c>
      <c r="R21" s="159">
        <f>+'Office-Commercial'!S$27</f>
        <v>0</v>
      </c>
    </row>
    <row r="22" spans="1:18" s="19" customFormat="1" ht="19.5" customHeight="1">
      <c r="A22" s="51"/>
      <c r="B22" s="51" t="str">
        <f t="shared" si="1"/>
        <v>Retail</v>
      </c>
      <c r="C22" s="51"/>
      <c r="D22" s="159">
        <f>+Retail!E$25</f>
        <v>918.4135283363803</v>
      </c>
      <c r="E22" s="159">
        <f>+Retail!F$25</f>
        <v>0</v>
      </c>
      <c r="F22" s="159">
        <f>+Retail!G$25</f>
        <v>22236.99445</v>
      </c>
      <c r="G22" s="159">
        <f>+Retail!H$25</f>
        <v>10306.846927574998</v>
      </c>
      <c r="H22" s="159">
        <f>+Retail!I$25</f>
        <v>4718.245482401005</v>
      </c>
      <c r="I22" s="159">
        <f>+Retail!J$25</f>
        <v>9053.115690484618</v>
      </c>
      <c r="J22" s="159">
        <f>+Retail!K$25</f>
        <v>6256.983290349026</v>
      </c>
      <c r="K22" s="159">
        <f>+Retail!L$25</f>
        <v>6444.692789059497</v>
      </c>
      <c r="L22" s="159">
        <f>+Retail!M$25</f>
        <v>0</v>
      </c>
      <c r="M22" s="159">
        <f>+Retail!N$25</f>
        <v>0</v>
      </c>
      <c r="N22" s="159">
        <f>+Retail!O$25</f>
        <v>0</v>
      </c>
      <c r="O22" s="159">
        <f>+Retail!P$25</f>
        <v>0</v>
      </c>
      <c r="P22" s="159">
        <f>+Retail!Q$25</f>
        <v>0</v>
      </c>
      <c r="Q22" s="159">
        <f>+Retail!R$25</f>
        <v>0</v>
      </c>
      <c r="R22" s="159">
        <f>+Retail!S$25</f>
        <v>0</v>
      </c>
    </row>
    <row r="23" spans="1:18" s="19" customFormat="1" ht="19.5" customHeight="1">
      <c r="A23" s="51"/>
      <c r="B23" s="51" t="str">
        <f t="shared" si="1"/>
        <v>Hotel</v>
      </c>
      <c r="C23" s="51"/>
      <c r="D23" s="159">
        <f>+Hotel!E$29</f>
        <v>0</v>
      </c>
      <c r="E23" s="159">
        <f>+Hotel!F$29</f>
        <v>0</v>
      </c>
      <c r="F23" s="159">
        <f>+Hotel!G$29</f>
        <v>0</v>
      </c>
      <c r="G23" s="159">
        <f>+Hotel!H$29</f>
        <v>0</v>
      </c>
      <c r="H23" s="159">
        <f>+Hotel!I$29</f>
        <v>0</v>
      </c>
      <c r="I23" s="159">
        <f>+Hotel!J$29</f>
        <v>69924.4228453559</v>
      </c>
      <c r="J23" s="159">
        <f>+Hotel!K$29</f>
        <v>0</v>
      </c>
      <c r="K23" s="159">
        <f>+Hotel!L$29</f>
        <v>0</v>
      </c>
      <c r="L23" s="159">
        <f>+Hotel!M$29</f>
        <v>0</v>
      </c>
      <c r="M23" s="159">
        <f>+Hotel!N$29</f>
        <v>0</v>
      </c>
      <c r="N23" s="159">
        <f>+Hotel!O$29</f>
        <v>0</v>
      </c>
      <c r="O23" s="159">
        <f>+Hotel!P$29</f>
        <v>0</v>
      </c>
      <c r="P23" s="159">
        <f>+Hotel!Q$29</f>
        <v>0</v>
      </c>
      <c r="Q23" s="159">
        <f>+Hotel!R$29</f>
        <v>0</v>
      </c>
      <c r="R23" s="159">
        <f>+Hotel!S$29</f>
        <v>0</v>
      </c>
    </row>
    <row r="24" spans="1:18" s="19" customFormat="1" ht="19.5" customHeight="1">
      <c r="A24" s="51"/>
      <c r="B24" s="51" t="str">
        <f t="shared" si="1"/>
        <v>Structured Parking</v>
      </c>
      <c r="C24" s="51"/>
      <c r="D24" s="159">
        <f>+'Structured Parking'!E$41</f>
        <v>5785.448802559415</v>
      </c>
      <c r="E24" s="159">
        <f>+'Structured Parking'!F$41</f>
        <v>2800.776</v>
      </c>
      <c r="F24" s="159">
        <f>+'Structured Parking'!G$41</f>
        <v>11539.19712</v>
      </c>
      <c r="G24" s="159">
        <f>+'Structured Parking'!H$41</f>
        <v>8616.895449360001</v>
      </c>
      <c r="H24" s="159">
        <f>+'Structured Parking'!I$41</f>
        <v>7345.160534764797</v>
      </c>
      <c r="I24" s="159">
        <f>+'Structured Parking'!J$41</f>
        <v>11247.949712738075</v>
      </c>
      <c r="J24" s="159">
        <f>+'Structured Parking'!K$41</f>
        <v>9740.601014164973</v>
      </c>
      <c r="K24" s="159">
        <f>+'Structured Parking'!L$41</f>
        <v>10032.819044589924</v>
      </c>
      <c r="L24" s="159">
        <f>+'Structured Parking'!M$41</f>
        <v>0</v>
      </c>
      <c r="M24" s="159">
        <f>+'Structured Parking'!N$41</f>
        <v>0</v>
      </c>
      <c r="N24" s="159">
        <f>+'Structured Parking'!O$41</f>
        <v>0</v>
      </c>
      <c r="O24" s="159">
        <f>+'Structured Parking'!P$41</f>
        <v>0</v>
      </c>
      <c r="P24" s="159">
        <f>+'Structured Parking'!Q$41</f>
        <v>0</v>
      </c>
      <c r="Q24" s="159">
        <f>+'Structured Parking'!R$41</f>
        <v>0</v>
      </c>
      <c r="R24" s="159">
        <f>+'Structured Parking'!S$41</f>
        <v>0</v>
      </c>
    </row>
    <row r="25" spans="1:18" s="19" customFormat="1" ht="20.25" customHeight="1">
      <c r="A25" s="51"/>
      <c r="B25" s="51" t="s">
        <v>156</v>
      </c>
      <c r="C25" s="51"/>
      <c r="D25" s="162">
        <f>+'Development Costs'!C32/1000</f>
        <v>4000</v>
      </c>
      <c r="E25" s="162">
        <v>0</v>
      </c>
      <c r="F25" s="162">
        <v>0</v>
      </c>
      <c r="G25" s="162">
        <v>0</v>
      </c>
      <c r="H25" s="162">
        <v>0</v>
      </c>
      <c r="I25" s="162">
        <v>0</v>
      </c>
      <c r="J25" s="162">
        <v>0</v>
      </c>
      <c r="K25" s="162">
        <v>0</v>
      </c>
      <c r="L25" s="162">
        <v>0</v>
      </c>
      <c r="M25" s="162">
        <v>0</v>
      </c>
      <c r="N25" s="162">
        <v>0</v>
      </c>
      <c r="O25" s="162">
        <v>0</v>
      </c>
      <c r="P25" s="162">
        <v>0</v>
      </c>
      <c r="Q25" s="162">
        <v>0</v>
      </c>
      <c r="R25" s="162">
        <v>0</v>
      </c>
    </row>
    <row r="26" spans="1:18" s="40" customFormat="1" ht="19.5" customHeight="1">
      <c r="A26" s="54"/>
      <c r="B26" s="54" t="s">
        <v>96</v>
      </c>
      <c r="C26" s="54"/>
      <c r="D26" s="103">
        <f>SUM(D19:D25)</f>
        <v>48049.666352833636</v>
      </c>
      <c r="E26" s="103">
        <f aca="true" t="shared" si="2" ref="E26:R26">SUM(E19:E25)</f>
        <v>35476.496</v>
      </c>
      <c r="F26" s="103">
        <f t="shared" si="2"/>
        <v>83959.679045</v>
      </c>
      <c r="G26" s="103">
        <f t="shared" si="2"/>
        <v>59470.197257185006</v>
      </c>
      <c r="H26" s="103">
        <f t="shared" si="2"/>
        <v>33104.2304657108</v>
      </c>
      <c r="I26" s="103">
        <f t="shared" si="2"/>
        <v>114155.97711246094</v>
      </c>
      <c r="J26" s="103">
        <f t="shared" si="2"/>
        <v>43900.34762634076</v>
      </c>
      <c r="K26" s="103">
        <f t="shared" si="2"/>
        <v>45217.358055130964</v>
      </c>
      <c r="L26" s="103">
        <f t="shared" si="2"/>
        <v>0</v>
      </c>
      <c r="M26" s="103">
        <f t="shared" si="2"/>
        <v>0</v>
      </c>
      <c r="N26" s="103">
        <f t="shared" si="2"/>
        <v>0</v>
      </c>
      <c r="O26" s="103">
        <f t="shared" si="2"/>
        <v>0</v>
      </c>
      <c r="P26" s="103">
        <f t="shared" si="2"/>
        <v>0</v>
      </c>
      <c r="Q26" s="103">
        <f t="shared" si="2"/>
        <v>0</v>
      </c>
      <c r="R26" s="103">
        <f t="shared" si="2"/>
        <v>0</v>
      </c>
    </row>
    <row r="27" spans="4:18" s="40" customFormat="1" ht="19.5" customHeight="1">
      <c r="D27" s="102"/>
      <c r="E27" s="102"/>
      <c r="F27" s="102"/>
      <c r="G27" s="102"/>
      <c r="H27" s="102"/>
      <c r="I27" s="102"/>
      <c r="J27" s="102"/>
      <c r="K27" s="102"/>
      <c r="L27" s="102"/>
      <c r="M27" s="102"/>
      <c r="N27" s="102"/>
      <c r="O27" s="102"/>
      <c r="P27" s="102"/>
      <c r="Q27" s="102"/>
      <c r="R27" s="102"/>
    </row>
    <row r="28" spans="4:18" s="40" customFormat="1" ht="19.5" customHeight="1">
      <c r="D28" s="102"/>
      <c r="E28" s="102"/>
      <c r="F28" s="102"/>
      <c r="G28" s="102"/>
      <c r="H28" s="102"/>
      <c r="I28" s="102"/>
      <c r="J28" s="102"/>
      <c r="K28" s="102"/>
      <c r="L28" s="102"/>
      <c r="M28" s="102"/>
      <c r="N28" s="102"/>
      <c r="O28" s="102"/>
      <c r="P28" s="102"/>
      <c r="Q28" s="102"/>
      <c r="R28" s="102"/>
    </row>
    <row r="29" spans="1:18" s="56" customFormat="1" ht="19.5" customHeight="1">
      <c r="A29" s="68"/>
      <c r="B29" s="68" t="s">
        <v>118</v>
      </c>
      <c r="C29" s="48"/>
      <c r="D29" s="48"/>
      <c r="E29" s="48"/>
      <c r="F29" s="48"/>
      <c r="G29" s="48"/>
      <c r="H29" s="48"/>
      <c r="I29" s="48"/>
      <c r="J29" s="48"/>
      <c r="K29" s="48"/>
      <c r="L29" s="48"/>
      <c r="M29" s="48"/>
      <c r="N29" s="48"/>
      <c r="O29" s="48"/>
      <c r="P29" s="48"/>
      <c r="Q29" s="48"/>
      <c r="R29" s="48"/>
    </row>
    <row r="30" spans="1:18" s="40" customFormat="1" ht="19.5" customHeight="1">
      <c r="A30" s="56"/>
      <c r="B30" s="51" t="s">
        <v>86</v>
      </c>
      <c r="C30" s="51"/>
      <c r="D30" s="106">
        <f>+D15</f>
        <v>0</v>
      </c>
      <c r="E30" s="106">
        <f aca="true" t="shared" si="3" ref="E30:R30">+E15</f>
        <v>11404.653772782813</v>
      </c>
      <c r="F30" s="106">
        <f t="shared" si="3"/>
        <v>14282.913470172592</v>
      </c>
      <c r="G30" s="106">
        <f t="shared" si="3"/>
        <v>25585.968617809278</v>
      </c>
      <c r="H30" s="106">
        <f t="shared" si="3"/>
        <v>19264.776799375653</v>
      </c>
      <c r="I30" s="106">
        <f t="shared" si="3"/>
        <v>23171.603779255587</v>
      </c>
      <c r="J30" s="106">
        <f t="shared" si="3"/>
        <v>35706.46708568301</v>
      </c>
      <c r="K30" s="106">
        <f t="shared" si="3"/>
        <v>41174.38444086086</v>
      </c>
      <c r="L30" s="106">
        <f t="shared" si="3"/>
        <v>46987.444366972275</v>
      </c>
      <c r="M30" s="106">
        <f t="shared" si="3"/>
        <v>48364.07894798144</v>
      </c>
      <c r="N30" s="106">
        <f t="shared" si="3"/>
        <v>49865.85006642088</v>
      </c>
      <c r="O30" s="106">
        <f t="shared" si="3"/>
        <v>51381.538068413516</v>
      </c>
      <c r="P30" s="106">
        <f t="shared" si="3"/>
        <v>52911.560460465924</v>
      </c>
      <c r="Q30" s="106">
        <f t="shared" si="3"/>
        <v>54456.34727427989</v>
      </c>
      <c r="R30" s="106">
        <f t="shared" si="3"/>
        <v>56104.21644250829</v>
      </c>
    </row>
    <row r="31" spans="1:18" s="40" customFormat="1" ht="19.5" customHeight="1">
      <c r="A31" s="56"/>
      <c r="B31" s="51" t="s">
        <v>153</v>
      </c>
      <c r="C31" s="260">
        <v>0.1</v>
      </c>
      <c r="D31" s="90"/>
      <c r="E31" s="90"/>
      <c r="F31" s="90"/>
      <c r="G31" s="90"/>
      <c r="H31" s="90"/>
      <c r="I31" s="90"/>
      <c r="J31" s="90"/>
      <c r="K31" s="90"/>
      <c r="L31" s="90"/>
      <c r="M31" s="90"/>
      <c r="N31" s="90"/>
      <c r="O31" s="90"/>
      <c r="P31" s="90"/>
      <c r="Q31" s="90"/>
      <c r="R31" s="159">
        <f>+R30/C31</f>
        <v>561042.1644250829</v>
      </c>
    </row>
    <row r="32" spans="1:18" s="40" customFormat="1" ht="19.5" customHeight="1">
      <c r="A32" s="56"/>
      <c r="B32" s="51" t="s">
        <v>155</v>
      </c>
      <c r="C32" s="260">
        <v>0.05</v>
      </c>
      <c r="D32" s="90"/>
      <c r="E32" s="90"/>
      <c r="F32" s="90"/>
      <c r="G32" s="90"/>
      <c r="H32" s="90"/>
      <c r="I32" s="90"/>
      <c r="J32" s="90"/>
      <c r="K32" s="90"/>
      <c r="L32" s="90"/>
      <c r="M32" s="90"/>
      <c r="N32" s="90"/>
      <c r="O32" s="90"/>
      <c r="P32" s="90"/>
      <c r="Q32" s="90"/>
      <c r="R32" s="159">
        <f>-R31*C32</f>
        <v>-28052.108221254144</v>
      </c>
    </row>
    <row r="33" spans="1:18" s="40" customFormat="1" ht="19.5" customHeight="1">
      <c r="A33" s="56"/>
      <c r="B33" s="51" t="str">
        <f>+B26</f>
        <v>Total Development Costs</v>
      </c>
      <c r="C33" s="51"/>
      <c r="D33" s="162">
        <f>-D26</f>
        <v>-48049.666352833636</v>
      </c>
      <c r="E33" s="162">
        <f aca="true" t="shared" si="4" ref="E33:R33">-E26</f>
        <v>-35476.496</v>
      </c>
      <c r="F33" s="162">
        <f t="shared" si="4"/>
        <v>-83959.679045</v>
      </c>
      <c r="G33" s="162">
        <f t="shared" si="4"/>
        <v>-59470.197257185006</v>
      </c>
      <c r="H33" s="162">
        <f t="shared" si="4"/>
        <v>-33104.2304657108</v>
      </c>
      <c r="I33" s="162">
        <f t="shared" si="4"/>
        <v>-114155.97711246094</v>
      </c>
      <c r="J33" s="162">
        <f t="shared" si="4"/>
        <v>-43900.34762634076</v>
      </c>
      <c r="K33" s="162">
        <f t="shared" si="4"/>
        <v>-45217.358055130964</v>
      </c>
      <c r="L33" s="162">
        <f t="shared" si="4"/>
        <v>0</v>
      </c>
      <c r="M33" s="162">
        <f t="shared" si="4"/>
        <v>0</v>
      </c>
      <c r="N33" s="162">
        <f t="shared" si="4"/>
        <v>0</v>
      </c>
      <c r="O33" s="162">
        <f t="shared" si="4"/>
        <v>0</v>
      </c>
      <c r="P33" s="162">
        <f t="shared" si="4"/>
        <v>0</v>
      </c>
      <c r="Q33" s="162">
        <f t="shared" si="4"/>
        <v>0</v>
      </c>
      <c r="R33" s="162">
        <f t="shared" si="4"/>
        <v>0</v>
      </c>
    </row>
    <row r="34" spans="1:18" s="40" customFormat="1" ht="19.5" customHeight="1">
      <c r="A34" s="54"/>
      <c r="B34" s="54" t="s">
        <v>90</v>
      </c>
      <c r="C34" s="54"/>
      <c r="D34" s="261">
        <f>SUM(D30:D33)</f>
        <v>-48049.666352833636</v>
      </c>
      <c r="E34" s="261">
        <f aca="true" t="shared" si="5" ref="E34:R34">SUM(E30:E33)</f>
        <v>-24071.84222721719</v>
      </c>
      <c r="F34" s="261">
        <f t="shared" si="5"/>
        <v>-69676.76557482741</v>
      </c>
      <c r="G34" s="261">
        <f t="shared" si="5"/>
        <v>-33884.228639375724</v>
      </c>
      <c r="H34" s="261">
        <f t="shared" si="5"/>
        <v>-13839.45366633515</v>
      </c>
      <c r="I34" s="261">
        <f t="shared" si="5"/>
        <v>-90984.37333320535</v>
      </c>
      <c r="J34" s="261">
        <f t="shared" si="5"/>
        <v>-8193.880540657745</v>
      </c>
      <c r="K34" s="261">
        <f t="shared" si="5"/>
        <v>-4042.9736142701076</v>
      </c>
      <c r="L34" s="261">
        <f t="shared" si="5"/>
        <v>46987.444366972275</v>
      </c>
      <c r="M34" s="261">
        <f t="shared" si="5"/>
        <v>48364.07894798144</v>
      </c>
      <c r="N34" s="261">
        <f t="shared" si="5"/>
        <v>49865.85006642088</v>
      </c>
      <c r="O34" s="261">
        <f t="shared" si="5"/>
        <v>51381.538068413516</v>
      </c>
      <c r="P34" s="261">
        <f t="shared" si="5"/>
        <v>52911.560460465924</v>
      </c>
      <c r="Q34" s="261">
        <f t="shared" si="5"/>
        <v>54456.34727427989</v>
      </c>
      <c r="R34" s="261">
        <f t="shared" si="5"/>
        <v>589094.2726463369</v>
      </c>
    </row>
    <row r="35" spans="2:18" s="40" customFormat="1" ht="19.5" customHeight="1">
      <c r="B35" s="19"/>
      <c r="C35" s="19"/>
      <c r="D35" s="19"/>
      <c r="E35" s="19"/>
      <c r="F35" s="19"/>
      <c r="G35" s="19"/>
      <c r="H35" s="19"/>
      <c r="I35" s="19"/>
      <c r="J35" s="19"/>
      <c r="K35" s="19"/>
      <c r="L35" s="19"/>
      <c r="M35" s="19"/>
      <c r="N35" s="19"/>
      <c r="O35" s="19"/>
      <c r="P35" s="19"/>
      <c r="Q35" s="19"/>
      <c r="R35" s="19"/>
    </row>
    <row r="36" spans="2:18" s="40" customFormat="1" ht="19.5" customHeight="1">
      <c r="B36" s="19"/>
      <c r="C36" s="19"/>
      <c r="D36" s="19"/>
      <c r="E36" s="19"/>
      <c r="F36" s="19"/>
      <c r="G36" s="19"/>
      <c r="H36" s="19"/>
      <c r="I36" s="19"/>
      <c r="J36" s="19"/>
      <c r="K36" s="19"/>
      <c r="L36" s="19"/>
      <c r="M36" s="19"/>
      <c r="N36" s="19"/>
      <c r="O36" s="19"/>
      <c r="P36" s="19"/>
      <c r="Q36" s="19"/>
      <c r="R36" s="19"/>
    </row>
    <row r="37" spans="1:18" s="40" customFormat="1" ht="19.5" customHeight="1">
      <c r="A37" s="57"/>
      <c r="B37" s="60" t="s">
        <v>121</v>
      </c>
      <c r="C37" s="107">
        <v>0.1</v>
      </c>
      <c r="D37" s="174">
        <f>NPV(C37,$D$34:$R$34)</f>
        <v>38003.74413246769</v>
      </c>
      <c r="E37" s="57"/>
      <c r="F37" s="57"/>
      <c r="G37" s="60" t="s">
        <v>152</v>
      </c>
      <c r="H37" s="109">
        <f>IRR(D34:R34)</f>
        <v>0.11906986858905015</v>
      </c>
      <c r="I37" s="57"/>
      <c r="J37" s="57"/>
      <c r="K37" s="57"/>
      <c r="L37" s="57"/>
      <c r="M37" s="57"/>
      <c r="N37" s="57"/>
      <c r="O37" s="57"/>
      <c r="P37" s="57"/>
      <c r="Q37" s="57"/>
      <c r="R37" s="57"/>
    </row>
    <row r="38" spans="2:18" s="40" customFormat="1" ht="19.5" customHeight="1">
      <c r="B38" s="149"/>
      <c r="C38" s="19"/>
      <c r="D38" s="272"/>
      <c r="E38" s="43"/>
      <c r="F38" s="91"/>
      <c r="G38" s="19"/>
      <c r="H38" s="19"/>
      <c r="J38" s="19"/>
      <c r="K38" s="19"/>
      <c r="L38" s="19"/>
      <c r="M38" s="19"/>
      <c r="N38" s="19"/>
      <c r="O38" s="19"/>
      <c r="P38" s="19"/>
      <c r="Q38" s="19"/>
      <c r="R38" s="19"/>
    </row>
    <row r="39" spans="1:18" s="40" customFormat="1" ht="19.5" customHeight="1">
      <c r="A39" s="46" t="s">
        <v>157</v>
      </c>
      <c r="B39" s="149"/>
      <c r="C39" s="19"/>
      <c r="E39" s="43"/>
      <c r="F39" s="91"/>
      <c r="G39" s="19"/>
      <c r="H39" s="19"/>
      <c r="J39" s="19"/>
      <c r="K39" s="19"/>
      <c r="L39" s="19"/>
      <c r="M39" s="19"/>
      <c r="N39" s="19"/>
      <c r="O39" s="19"/>
      <c r="P39" s="19"/>
      <c r="Q39" s="19"/>
      <c r="R39" s="19"/>
    </row>
    <row r="40" spans="1:18" s="40" customFormat="1" ht="19.5" customHeight="1">
      <c r="A40" s="46" t="s">
        <v>154</v>
      </c>
      <c r="B40" s="149"/>
      <c r="C40" s="19"/>
      <c r="E40" s="43"/>
      <c r="F40" s="91"/>
      <c r="G40" s="19"/>
      <c r="H40" s="19"/>
      <c r="I40" s="19"/>
      <c r="J40" s="19"/>
      <c r="K40" s="19"/>
      <c r="L40" s="19"/>
      <c r="M40" s="19"/>
      <c r="N40" s="19"/>
      <c r="O40" s="19"/>
      <c r="P40" s="19"/>
      <c r="Q40" s="19"/>
      <c r="R40" s="19"/>
    </row>
    <row r="41" spans="1:18" s="40" customFormat="1" ht="19.5" customHeight="1">
      <c r="A41" s="46"/>
      <c r="B41" s="149"/>
      <c r="C41" s="19"/>
      <c r="E41" s="43"/>
      <c r="F41" s="91"/>
      <c r="G41" s="19"/>
      <c r="H41" s="19"/>
      <c r="I41" s="19"/>
      <c r="J41" s="19"/>
      <c r="K41" s="19"/>
      <c r="L41" s="19"/>
      <c r="M41" s="19"/>
      <c r="N41" s="19"/>
      <c r="O41" s="19"/>
      <c r="P41" s="19"/>
      <c r="Q41" s="19"/>
      <c r="R41" s="19"/>
    </row>
    <row r="42" spans="1:18" s="19" customFormat="1" ht="19.5" customHeight="1" thickBot="1">
      <c r="A42" s="115" t="s">
        <v>145</v>
      </c>
      <c r="B42" s="115"/>
      <c r="C42" s="115"/>
      <c r="D42" s="115"/>
      <c r="E42" s="115"/>
      <c r="F42" s="115"/>
      <c r="G42" s="115"/>
      <c r="H42" s="115"/>
      <c r="I42" s="115"/>
      <c r="J42" s="115"/>
      <c r="K42" s="115"/>
      <c r="L42" s="115"/>
      <c r="M42" s="115"/>
      <c r="N42" s="115"/>
      <c r="O42" s="115"/>
      <c r="P42" s="115"/>
      <c r="Q42" s="115"/>
      <c r="R42" s="115"/>
    </row>
    <row r="43" spans="4:18" ht="16.5" thickTop="1">
      <c r="D43" s="8"/>
      <c r="E43" s="8"/>
      <c r="F43" s="8"/>
      <c r="G43" s="8"/>
      <c r="H43" s="8"/>
      <c r="I43" s="8"/>
      <c r="J43" s="8"/>
      <c r="K43" s="8"/>
      <c r="L43" s="8"/>
      <c r="M43" s="8"/>
      <c r="N43" s="8"/>
      <c r="O43" s="8"/>
      <c r="P43" s="8"/>
      <c r="Q43" s="8"/>
      <c r="R43" s="8"/>
    </row>
    <row r="44" spans="4:18" ht="15.75">
      <c r="D44" s="8"/>
      <c r="E44" s="8"/>
      <c r="F44" s="8"/>
      <c r="G44" s="8"/>
      <c r="H44" s="8"/>
      <c r="I44" s="8"/>
      <c r="J44" s="8"/>
      <c r="K44" s="8"/>
      <c r="L44" s="8"/>
      <c r="M44" s="8"/>
      <c r="N44" s="8"/>
      <c r="O44" s="8"/>
      <c r="P44" s="8"/>
      <c r="Q44" s="8"/>
      <c r="R44" s="8"/>
    </row>
    <row r="45" spans="4:18" ht="15.75">
      <c r="D45" s="8"/>
      <c r="E45" s="8"/>
      <c r="F45" s="8"/>
      <c r="G45" s="8"/>
      <c r="H45" s="8"/>
      <c r="I45" s="8"/>
      <c r="J45" s="8"/>
      <c r="K45" s="8"/>
      <c r="L45" s="8"/>
      <c r="M45" s="8"/>
      <c r="N45" s="8"/>
      <c r="O45" s="8"/>
      <c r="P45" s="8"/>
      <c r="Q45" s="8"/>
      <c r="R45" s="8"/>
    </row>
    <row r="46" spans="4:18" ht="15.75">
      <c r="D46" s="8"/>
      <c r="E46" s="8"/>
      <c r="F46" s="8"/>
      <c r="G46" s="8"/>
      <c r="H46" s="8"/>
      <c r="I46" s="8"/>
      <c r="J46" s="8"/>
      <c r="K46" s="8"/>
      <c r="L46" s="8"/>
      <c r="M46" s="8"/>
      <c r="N46" s="8"/>
      <c r="O46" s="8"/>
      <c r="P46" s="8"/>
      <c r="Q46" s="8"/>
      <c r="R46" s="8"/>
    </row>
    <row r="47" spans="4:18" ht="15.75">
      <c r="D47" s="8"/>
      <c r="E47" s="8"/>
      <c r="F47" s="8"/>
      <c r="G47" s="8"/>
      <c r="H47" s="8"/>
      <c r="I47" s="8"/>
      <c r="J47" s="8"/>
      <c r="K47" s="8"/>
      <c r="L47" s="8"/>
      <c r="M47" s="8"/>
      <c r="N47" s="8"/>
      <c r="O47" s="8"/>
      <c r="P47" s="8"/>
      <c r="Q47" s="8"/>
      <c r="R47" s="8"/>
    </row>
    <row r="48" spans="4:18" ht="15.75">
      <c r="D48" s="8"/>
      <c r="E48" s="8"/>
      <c r="F48" s="8"/>
      <c r="G48" s="8"/>
      <c r="H48" s="8"/>
      <c r="I48" s="8"/>
      <c r="J48" s="8"/>
      <c r="K48" s="8"/>
      <c r="L48" s="8"/>
      <c r="M48" s="8"/>
      <c r="N48" s="8"/>
      <c r="O48" s="8"/>
      <c r="P48" s="8"/>
      <c r="Q48" s="8"/>
      <c r="R48" s="8"/>
    </row>
    <row r="49" spans="4:18" ht="15.75">
      <c r="D49" s="8"/>
      <c r="E49" s="8"/>
      <c r="F49" s="8"/>
      <c r="G49" s="8"/>
      <c r="H49" s="8"/>
      <c r="I49" s="8"/>
      <c r="J49" s="8"/>
      <c r="K49" s="8"/>
      <c r="L49" s="8"/>
      <c r="M49" s="8"/>
      <c r="N49" s="8"/>
      <c r="O49" s="8"/>
      <c r="P49" s="8"/>
      <c r="Q49" s="8"/>
      <c r="R49" s="8"/>
    </row>
    <row r="50" spans="4:18" ht="15.75">
      <c r="D50" s="8"/>
      <c r="E50" s="8"/>
      <c r="F50" s="8"/>
      <c r="G50" s="8"/>
      <c r="H50" s="8"/>
      <c r="I50" s="8"/>
      <c r="J50" s="8"/>
      <c r="K50" s="8"/>
      <c r="L50" s="8"/>
      <c r="M50" s="8"/>
      <c r="N50" s="8"/>
      <c r="O50" s="8"/>
      <c r="P50" s="8"/>
      <c r="Q50" s="8"/>
      <c r="R50" s="8"/>
    </row>
    <row r="51" spans="4:18" ht="15.75">
      <c r="D51" s="8"/>
      <c r="E51" s="8"/>
      <c r="F51" s="8"/>
      <c r="G51" s="8"/>
      <c r="H51" s="8"/>
      <c r="I51" s="8"/>
      <c r="J51" s="8"/>
      <c r="K51" s="8"/>
      <c r="L51" s="8"/>
      <c r="M51" s="8"/>
      <c r="N51" s="8"/>
      <c r="O51" s="8"/>
      <c r="P51" s="8"/>
      <c r="Q51" s="8"/>
      <c r="R51" s="8"/>
    </row>
    <row r="52" spans="4:18" ht="15.75">
      <c r="D52" s="8"/>
      <c r="E52" s="8"/>
      <c r="F52" s="8"/>
      <c r="G52" s="8"/>
      <c r="H52" s="8"/>
      <c r="I52" s="8"/>
      <c r="J52" s="8"/>
      <c r="K52" s="8"/>
      <c r="L52" s="8"/>
      <c r="M52" s="8"/>
      <c r="N52" s="8"/>
      <c r="O52" s="8"/>
      <c r="P52" s="8"/>
      <c r="Q52" s="8"/>
      <c r="R52" s="8"/>
    </row>
    <row r="53" spans="4:18" ht="15.75">
      <c r="D53" s="8"/>
      <c r="E53" s="8"/>
      <c r="F53" s="8"/>
      <c r="G53" s="8"/>
      <c r="H53" s="8"/>
      <c r="I53" s="8"/>
      <c r="J53" s="8"/>
      <c r="K53" s="8"/>
      <c r="L53" s="8"/>
      <c r="M53" s="8"/>
      <c r="N53" s="8"/>
      <c r="O53" s="8"/>
      <c r="P53" s="8"/>
      <c r="Q53" s="8"/>
      <c r="R53" s="8"/>
    </row>
    <row r="54" spans="4:18" ht="15.75">
      <c r="D54" s="8"/>
      <c r="E54" s="8"/>
      <c r="F54" s="8"/>
      <c r="G54" s="8"/>
      <c r="H54" s="8"/>
      <c r="I54" s="8"/>
      <c r="J54" s="8"/>
      <c r="K54" s="8"/>
      <c r="L54" s="8"/>
      <c r="M54" s="8"/>
      <c r="N54" s="8"/>
      <c r="O54" s="8"/>
      <c r="P54" s="8"/>
      <c r="Q54" s="8"/>
      <c r="R54" s="8"/>
    </row>
    <row r="55" spans="4:18" ht="15.75">
      <c r="D55" s="8"/>
      <c r="E55" s="8"/>
      <c r="F55" s="8"/>
      <c r="G55" s="8"/>
      <c r="H55" s="8"/>
      <c r="I55" s="8"/>
      <c r="J55" s="8"/>
      <c r="K55" s="8"/>
      <c r="L55" s="8"/>
      <c r="M55" s="8"/>
      <c r="N55" s="8"/>
      <c r="O55" s="8"/>
      <c r="P55" s="8"/>
      <c r="Q55" s="8"/>
      <c r="R55" s="8"/>
    </row>
    <row r="56" spans="4:18" ht="15.75">
      <c r="D56" s="8"/>
      <c r="E56" s="8"/>
      <c r="F56" s="8"/>
      <c r="G56" s="8"/>
      <c r="H56" s="8"/>
      <c r="I56" s="8"/>
      <c r="J56" s="8"/>
      <c r="K56" s="8"/>
      <c r="L56" s="8"/>
      <c r="M56" s="8"/>
      <c r="N56" s="8"/>
      <c r="O56" s="8"/>
      <c r="P56" s="8"/>
      <c r="Q56" s="8"/>
      <c r="R56" s="8"/>
    </row>
    <row r="57" spans="4:18" ht="15.75">
      <c r="D57" s="8"/>
      <c r="E57" s="8"/>
      <c r="F57" s="8"/>
      <c r="G57" s="8"/>
      <c r="H57" s="8"/>
      <c r="I57" s="8"/>
      <c r="J57" s="8"/>
      <c r="K57" s="8"/>
      <c r="L57" s="8"/>
      <c r="M57" s="8"/>
      <c r="N57" s="8"/>
      <c r="O57" s="8"/>
      <c r="P57" s="8"/>
      <c r="Q57" s="8"/>
      <c r="R57" s="8"/>
    </row>
    <row r="58" spans="4:18" ht="15.75">
      <c r="D58" s="8"/>
      <c r="E58" s="8"/>
      <c r="F58" s="8"/>
      <c r="G58" s="8"/>
      <c r="H58" s="8"/>
      <c r="I58" s="8"/>
      <c r="J58" s="8"/>
      <c r="K58" s="8"/>
      <c r="L58" s="8"/>
      <c r="M58" s="8"/>
      <c r="N58" s="8"/>
      <c r="O58" s="8"/>
      <c r="P58" s="8"/>
      <c r="Q58" s="8"/>
      <c r="R58" s="8"/>
    </row>
    <row r="59" spans="4:18" ht="15.75">
      <c r="D59" s="8"/>
      <c r="E59" s="8"/>
      <c r="F59" s="8"/>
      <c r="G59" s="8"/>
      <c r="H59" s="8"/>
      <c r="I59" s="8"/>
      <c r="J59" s="8"/>
      <c r="K59" s="8"/>
      <c r="L59" s="8"/>
      <c r="M59" s="8"/>
      <c r="N59" s="8"/>
      <c r="O59" s="8"/>
      <c r="P59" s="8"/>
      <c r="Q59" s="8"/>
      <c r="R59" s="8"/>
    </row>
    <row r="60" spans="4:18" ht="15.75">
      <c r="D60" s="8"/>
      <c r="E60" s="8"/>
      <c r="F60" s="8"/>
      <c r="G60" s="8"/>
      <c r="H60" s="8"/>
      <c r="I60" s="8"/>
      <c r="J60" s="8"/>
      <c r="K60" s="8"/>
      <c r="L60" s="8"/>
      <c r="M60" s="8"/>
      <c r="N60" s="8"/>
      <c r="O60" s="8"/>
      <c r="P60" s="8"/>
      <c r="Q60" s="8"/>
      <c r="R60" s="8"/>
    </row>
    <row r="61" spans="4:18" ht="15.75">
      <c r="D61" s="8"/>
      <c r="E61" s="8"/>
      <c r="F61" s="8"/>
      <c r="G61" s="8"/>
      <c r="H61" s="8"/>
      <c r="I61" s="8"/>
      <c r="J61" s="8"/>
      <c r="K61" s="8"/>
      <c r="L61" s="8"/>
      <c r="M61" s="8"/>
      <c r="N61" s="8"/>
      <c r="O61" s="8"/>
      <c r="P61" s="8"/>
      <c r="Q61" s="8"/>
      <c r="R61" s="8"/>
    </row>
    <row r="62" spans="4:18" ht="15.75">
      <c r="D62" s="8"/>
      <c r="E62" s="8"/>
      <c r="F62" s="8"/>
      <c r="G62" s="8"/>
      <c r="H62" s="8"/>
      <c r="I62" s="8"/>
      <c r="J62" s="8"/>
      <c r="K62" s="8"/>
      <c r="L62" s="8"/>
      <c r="M62" s="8"/>
      <c r="N62" s="8"/>
      <c r="O62" s="8"/>
      <c r="P62" s="8"/>
      <c r="Q62" s="8"/>
      <c r="R62" s="8"/>
    </row>
    <row r="63" spans="4:18" ht="15.75">
      <c r="D63" s="8"/>
      <c r="E63" s="8"/>
      <c r="F63" s="8"/>
      <c r="G63" s="8"/>
      <c r="H63" s="8"/>
      <c r="I63" s="8"/>
      <c r="J63" s="8"/>
      <c r="K63" s="8"/>
      <c r="L63" s="8"/>
      <c r="M63" s="8"/>
      <c r="N63" s="8"/>
      <c r="O63" s="8"/>
      <c r="P63" s="8"/>
      <c r="Q63" s="8"/>
      <c r="R63" s="8"/>
    </row>
    <row r="64" spans="4:18" ht="15.75">
      <c r="D64" s="8"/>
      <c r="E64" s="8"/>
      <c r="F64" s="8"/>
      <c r="G64" s="8"/>
      <c r="H64" s="8"/>
      <c r="I64" s="8"/>
      <c r="J64" s="8"/>
      <c r="K64" s="8"/>
      <c r="L64" s="8"/>
      <c r="M64" s="8"/>
      <c r="N64" s="8"/>
      <c r="O64" s="8"/>
      <c r="P64" s="8"/>
      <c r="Q64" s="8"/>
      <c r="R64" s="8"/>
    </row>
    <row r="65" spans="4:18" ht="15.75">
      <c r="D65" s="8"/>
      <c r="E65" s="8"/>
      <c r="F65" s="8"/>
      <c r="G65" s="8"/>
      <c r="H65" s="8"/>
      <c r="I65" s="8"/>
      <c r="J65" s="8"/>
      <c r="K65" s="8"/>
      <c r="L65" s="8"/>
      <c r="M65" s="8"/>
      <c r="N65" s="8"/>
      <c r="O65" s="8"/>
      <c r="P65" s="8"/>
      <c r="Q65" s="8"/>
      <c r="R65" s="8"/>
    </row>
    <row r="66" spans="4:18" ht="15.75">
      <c r="D66" s="8"/>
      <c r="E66" s="8"/>
      <c r="F66" s="8"/>
      <c r="G66" s="8"/>
      <c r="H66" s="8"/>
      <c r="I66" s="8"/>
      <c r="J66" s="8"/>
      <c r="K66" s="8"/>
      <c r="L66" s="8"/>
      <c r="M66" s="8"/>
      <c r="N66" s="8"/>
      <c r="O66" s="8"/>
      <c r="P66" s="8"/>
      <c r="Q66" s="8"/>
      <c r="R66" s="8"/>
    </row>
    <row r="67" spans="4:18" ht="15.75">
      <c r="D67" s="8"/>
      <c r="E67" s="8"/>
      <c r="F67" s="8"/>
      <c r="G67" s="8"/>
      <c r="H67" s="8"/>
      <c r="I67" s="8"/>
      <c r="J67" s="8"/>
      <c r="K67" s="8"/>
      <c r="L67" s="8"/>
      <c r="M67" s="8"/>
      <c r="N67" s="8"/>
      <c r="O67" s="8"/>
      <c r="P67" s="8"/>
      <c r="Q67" s="8"/>
      <c r="R67" s="8"/>
    </row>
    <row r="68" spans="4:18" ht="15.75">
      <c r="D68" s="8"/>
      <c r="E68" s="8"/>
      <c r="F68" s="8"/>
      <c r="G68" s="8"/>
      <c r="H68" s="8"/>
      <c r="I68" s="8"/>
      <c r="J68" s="8"/>
      <c r="K68" s="8"/>
      <c r="L68" s="8"/>
      <c r="M68" s="8"/>
      <c r="N68" s="8"/>
      <c r="O68" s="8"/>
      <c r="P68" s="8"/>
      <c r="Q68" s="8"/>
      <c r="R68" s="8"/>
    </row>
    <row r="69" spans="4:18" ht="15.75">
      <c r="D69" s="8"/>
      <c r="E69" s="8"/>
      <c r="F69" s="8"/>
      <c r="G69" s="8"/>
      <c r="H69" s="8"/>
      <c r="I69" s="8"/>
      <c r="J69" s="8"/>
      <c r="K69" s="8"/>
      <c r="L69" s="8"/>
      <c r="M69" s="8"/>
      <c r="N69" s="8"/>
      <c r="O69" s="8"/>
      <c r="P69" s="8"/>
      <c r="Q69" s="8"/>
      <c r="R69" s="8"/>
    </row>
    <row r="70" spans="4:18" ht="15.75">
      <c r="D70" s="8"/>
      <c r="E70" s="8"/>
      <c r="F70" s="8"/>
      <c r="G70" s="8"/>
      <c r="H70" s="8"/>
      <c r="I70" s="8"/>
      <c r="J70" s="8"/>
      <c r="K70" s="8"/>
      <c r="L70" s="8"/>
      <c r="M70" s="8"/>
      <c r="N70" s="8"/>
      <c r="O70" s="8"/>
      <c r="P70" s="8"/>
      <c r="Q70" s="8"/>
      <c r="R70" s="8"/>
    </row>
    <row r="71" spans="4:18" ht="15.75">
      <c r="D71" s="8"/>
      <c r="E71" s="8"/>
      <c r="F71" s="8"/>
      <c r="G71" s="8"/>
      <c r="H71" s="8"/>
      <c r="I71" s="8"/>
      <c r="J71" s="8"/>
      <c r="K71" s="8"/>
      <c r="L71" s="8"/>
      <c r="M71" s="8"/>
      <c r="N71" s="8"/>
      <c r="O71" s="8"/>
      <c r="P71" s="8"/>
      <c r="Q71" s="8"/>
      <c r="R71" s="8"/>
    </row>
    <row r="72" spans="4:18" ht="15.75">
      <c r="D72" s="8"/>
      <c r="E72" s="8"/>
      <c r="F72" s="8"/>
      <c r="G72" s="8"/>
      <c r="H72" s="8"/>
      <c r="I72" s="8"/>
      <c r="J72" s="8"/>
      <c r="K72" s="8"/>
      <c r="L72" s="8"/>
      <c r="M72" s="8"/>
      <c r="N72" s="8"/>
      <c r="O72" s="8"/>
      <c r="P72" s="8"/>
      <c r="Q72" s="8"/>
      <c r="R72" s="8"/>
    </row>
    <row r="73" spans="4:18" ht="15.75">
      <c r="D73" s="8"/>
      <c r="E73" s="8"/>
      <c r="F73" s="8"/>
      <c r="G73" s="8"/>
      <c r="H73" s="8"/>
      <c r="I73" s="8"/>
      <c r="J73" s="8"/>
      <c r="K73" s="8"/>
      <c r="L73" s="8"/>
      <c r="M73" s="8"/>
      <c r="N73" s="8"/>
      <c r="O73" s="8"/>
      <c r="P73" s="8"/>
      <c r="Q73" s="8"/>
      <c r="R73" s="8"/>
    </row>
    <row r="74" spans="4:18" ht="15.75">
      <c r="D74" s="8"/>
      <c r="E74" s="8"/>
      <c r="F74" s="8"/>
      <c r="G74" s="8"/>
      <c r="H74" s="8"/>
      <c r="I74" s="8"/>
      <c r="J74" s="8"/>
      <c r="K74" s="8"/>
      <c r="L74" s="8"/>
      <c r="M74" s="8"/>
      <c r="N74" s="8"/>
      <c r="O74" s="8"/>
      <c r="P74" s="8"/>
      <c r="Q74" s="8"/>
      <c r="R74" s="8"/>
    </row>
    <row r="75" spans="4:18" ht="15.75">
      <c r="D75" s="8"/>
      <c r="E75" s="8"/>
      <c r="F75" s="8"/>
      <c r="G75" s="8"/>
      <c r="H75" s="8"/>
      <c r="I75" s="8"/>
      <c r="J75" s="8"/>
      <c r="K75" s="8"/>
      <c r="L75" s="8"/>
      <c r="M75" s="8"/>
      <c r="N75" s="8"/>
      <c r="O75" s="8"/>
      <c r="P75" s="8"/>
      <c r="Q75" s="8"/>
      <c r="R75" s="8"/>
    </row>
    <row r="76" spans="4:18" ht="15.75">
      <c r="D76" s="8"/>
      <c r="E76" s="8"/>
      <c r="F76" s="8"/>
      <c r="G76" s="8"/>
      <c r="H76" s="8"/>
      <c r="I76" s="8"/>
      <c r="J76" s="8"/>
      <c r="K76" s="8"/>
      <c r="L76" s="8"/>
      <c r="M76" s="8"/>
      <c r="N76" s="8"/>
      <c r="O76" s="8"/>
      <c r="P76" s="8"/>
      <c r="Q76" s="8"/>
      <c r="R76" s="8"/>
    </row>
    <row r="77" spans="4:18" ht="15.75">
      <c r="D77" s="8"/>
      <c r="E77" s="8"/>
      <c r="F77" s="8"/>
      <c r="G77" s="8"/>
      <c r="H77" s="8"/>
      <c r="I77" s="8"/>
      <c r="J77" s="8"/>
      <c r="K77" s="8"/>
      <c r="L77" s="8"/>
      <c r="M77" s="8"/>
      <c r="N77" s="8"/>
      <c r="O77" s="8"/>
      <c r="P77" s="8"/>
      <c r="Q77" s="8"/>
      <c r="R77" s="8"/>
    </row>
    <row r="78" spans="4:18" ht="15.75">
      <c r="D78" s="8"/>
      <c r="E78" s="8"/>
      <c r="F78" s="8"/>
      <c r="G78" s="8"/>
      <c r="H78" s="8"/>
      <c r="I78" s="8"/>
      <c r="J78" s="8"/>
      <c r="K78" s="8"/>
      <c r="L78" s="8"/>
      <c r="M78" s="8"/>
      <c r="N78" s="8"/>
      <c r="O78" s="8"/>
      <c r="P78" s="8"/>
      <c r="Q78" s="8"/>
      <c r="R78" s="8"/>
    </row>
    <row r="79" spans="4:18" ht="15.75">
      <c r="D79" s="8"/>
      <c r="E79" s="8"/>
      <c r="F79" s="8"/>
      <c r="G79" s="8"/>
      <c r="H79" s="8"/>
      <c r="I79" s="8"/>
      <c r="J79" s="8"/>
      <c r="K79" s="8"/>
      <c r="L79" s="8"/>
      <c r="M79" s="8"/>
      <c r="N79" s="8"/>
      <c r="O79" s="8"/>
      <c r="P79" s="8"/>
      <c r="Q79" s="8"/>
      <c r="R79" s="8"/>
    </row>
    <row r="80" spans="4:18" ht="15.75">
      <c r="D80" s="8"/>
      <c r="E80" s="8"/>
      <c r="F80" s="8"/>
      <c r="G80" s="8"/>
      <c r="H80" s="8"/>
      <c r="I80" s="8"/>
      <c r="J80" s="8"/>
      <c r="K80" s="8"/>
      <c r="L80" s="8"/>
      <c r="M80" s="8"/>
      <c r="N80" s="8"/>
      <c r="O80" s="8"/>
      <c r="P80" s="8"/>
      <c r="Q80" s="8"/>
      <c r="R80" s="8"/>
    </row>
    <row r="81" spans="4:18" ht="15.75">
      <c r="D81" s="8"/>
      <c r="E81" s="8"/>
      <c r="F81" s="8"/>
      <c r="G81" s="8"/>
      <c r="H81" s="8"/>
      <c r="I81" s="8"/>
      <c r="J81" s="8"/>
      <c r="K81" s="8"/>
      <c r="L81" s="8"/>
      <c r="M81" s="8"/>
      <c r="N81" s="8"/>
      <c r="O81" s="8"/>
      <c r="P81" s="8"/>
      <c r="Q81" s="8"/>
      <c r="R81" s="8"/>
    </row>
    <row r="82" spans="4:18" ht="15.75">
      <c r="D82" s="8"/>
      <c r="E82" s="8"/>
      <c r="F82" s="8"/>
      <c r="G82" s="8"/>
      <c r="H82" s="8"/>
      <c r="I82" s="8"/>
      <c r="J82" s="8"/>
      <c r="K82" s="8"/>
      <c r="L82" s="8"/>
      <c r="M82" s="8"/>
      <c r="N82" s="8"/>
      <c r="O82" s="8"/>
      <c r="P82" s="8"/>
      <c r="Q82" s="8"/>
      <c r="R82" s="8"/>
    </row>
    <row r="83" spans="4:18" ht="15.75">
      <c r="D83" s="8"/>
      <c r="E83" s="8"/>
      <c r="F83" s="8"/>
      <c r="G83" s="8"/>
      <c r="H83" s="8"/>
      <c r="I83" s="8"/>
      <c r="J83" s="8"/>
      <c r="K83" s="8"/>
      <c r="L83" s="8"/>
      <c r="M83" s="8"/>
      <c r="N83" s="8"/>
      <c r="O83" s="8"/>
      <c r="P83" s="8"/>
      <c r="Q83" s="8"/>
      <c r="R83" s="8"/>
    </row>
    <row r="84" spans="4:18" ht="15.75">
      <c r="D84" s="8"/>
      <c r="E84" s="8"/>
      <c r="F84" s="8"/>
      <c r="G84" s="8"/>
      <c r="H84" s="8"/>
      <c r="I84" s="8"/>
      <c r="J84" s="8"/>
      <c r="K84" s="8"/>
      <c r="L84" s="8"/>
      <c r="M84" s="8"/>
      <c r="N84" s="8"/>
      <c r="O84" s="8"/>
      <c r="P84" s="8"/>
      <c r="Q84" s="8"/>
      <c r="R84" s="8"/>
    </row>
    <row r="85" spans="4:18" ht="15.75">
      <c r="D85" s="8"/>
      <c r="E85" s="8"/>
      <c r="F85" s="8"/>
      <c r="G85" s="8"/>
      <c r="H85" s="8"/>
      <c r="I85" s="8"/>
      <c r="J85" s="8"/>
      <c r="K85" s="8"/>
      <c r="L85" s="8"/>
      <c r="M85" s="8"/>
      <c r="N85" s="8"/>
      <c r="O85" s="8"/>
      <c r="P85" s="8"/>
      <c r="Q85" s="8"/>
      <c r="R85" s="8"/>
    </row>
    <row r="86" spans="4:18" ht="15.75">
      <c r="D86" s="8"/>
      <c r="E86" s="8"/>
      <c r="F86" s="8"/>
      <c r="G86" s="8"/>
      <c r="H86" s="8"/>
      <c r="I86" s="8"/>
      <c r="J86" s="8"/>
      <c r="K86" s="8"/>
      <c r="L86" s="8"/>
      <c r="M86" s="8"/>
      <c r="N86" s="8"/>
      <c r="O86" s="8"/>
      <c r="P86" s="8"/>
      <c r="Q86" s="8"/>
      <c r="R86" s="8"/>
    </row>
    <row r="87" spans="4:18" ht="15.75">
      <c r="D87" s="8"/>
      <c r="E87" s="8"/>
      <c r="F87" s="8"/>
      <c r="G87" s="8"/>
      <c r="H87" s="8"/>
      <c r="I87" s="8"/>
      <c r="J87" s="8"/>
      <c r="K87" s="8"/>
      <c r="L87" s="8"/>
      <c r="M87" s="8"/>
      <c r="N87" s="8"/>
      <c r="O87" s="8"/>
      <c r="P87" s="8"/>
      <c r="Q87" s="8"/>
      <c r="R87" s="8"/>
    </row>
    <row r="88" spans="4:18" ht="15.75">
      <c r="D88" s="8"/>
      <c r="E88" s="8"/>
      <c r="F88" s="8"/>
      <c r="G88" s="8"/>
      <c r="H88" s="8"/>
      <c r="I88" s="8"/>
      <c r="J88" s="8"/>
      <c r="K88" s="8"/>
      <c r="L88" s="8"/>
      <c r="M88" s="8"/>
      <c r="N88" s="8"/>
      <c r="O88" s="8"/>
      <c r="P88" s="8"/>
      <c r="Q88" s="8"/>
      <c r="R88" s="8"/>
    </row>
    <row r="89" spans="4:18" ht="15.75">
      <c r="D89" s="8"/>
      <c r="E89" s="8"/>
      <c r="F89" s="8"/>
      <c r="G89" s="8"/>
      <c r="H89" s="8"/>
      <c r="I89" s="8"/>
      <c r="J89" s="8"/>
      <c r="K89" s="8"/>
      <c r="L89" s="8"/>
      <c r="M89" s="8"/>
      <c r="N89" s="8"/>
      <c r="O89" s="8"/>
      <c r="P89" s="8"/>
      <c r="Q89" s="8"/>
      <c r="R89" s="8"/>
    </row>
    <row r="90" spans="4:18" ht="15.75">
      <c r="D90" s="8"/>
      <c r="E90" s="8"/>
      <c r="F90" s="8"/>
      <c r="G90" s="8"/>
      <c r="H90" s="8"/>
      <c r="I90" s="8"/>
      <c r="J90" s="8"/>
      <c r="K90" s="8"/>
      <c r="L90" s="8"/>
      <c r="M90" s="8"/>
      <c r="N90" s="8"/>
      <c r="O90" s="8"/>
      <c r="P90" s="8"/>
      <c r="Q90" s="8"/>
      <c r="R90" s="8"/>
    </row>
    <row r="91" spans="4:18" ht="15.75">
      <c r="D91" s="8"/>
      <c r="E91" s="8"/>
      <c r="F91" s="8"/>
      <c r="G91" s="8"/>
      <c r="H91" s="8"/>
      <c r="I91" s="8"/>
      <c r="J91" s="8"/>
      <c r="K91" s="8"/>
      <c r="L91" s="8"/>
      <c r="M91" s="8"/>
      <c r="N91" s="8"/>
      <c r="O91" s="8"/>
      <c r="P91" s="8"/>
      <c r="Q91" s="8"/>
      <c r="R91" s="8"/>
    </row>
  </sheetData>
  <printOptions horizontalCentered="1"/>
  <pageMargins left="0.5" right="0.5" top="0.75" bottom="0.5" header="0.5" footer="0.5"/>
  <pageSetup fitToHeight="1" fitToWidth="1" horizontalDpi="600" verticalDpi="600" orientation="landscape" scale="52" r:id="rId1"/>
</worksheet>
</file>

<file path=xl/worksheets/sheet10.xml><?xml version="1.0" encoding="utf-8"?>
<worksheet xmlns="http://schemas.openxmlformats.org/spreadsheetml/2006/main" xmlns:r="http://schemas.openxmlformats.org/officeDocument/2006/relationships">
  <sheetPr>
    <pageSetUpPr fitToPage="1"/>
  </sheetPr>
  <dimension ref="A1:V44"/>
  <sheetViews>
    <sheetView zoomScale="75" zoomScaleNormal="75" workbookViewId="0" topLeftCell="A31">
      <selection activeCell="D40" sqref="D40"/>
    </sheetView>
  </sheetViews>
  <sheetFormatPr defaultColWidth="9.00390625" defaultRowHeight="15.75"/>
  <cols>
    <col min="1" max="1" width="3.125" style="0" customWidth="1"/>
    <col min="2" max="2" width="28.375" style="0" customWidth="1"/>
    <col min="3" max="3" width="9.875" style="0" customWidth="1"/>
    <col min="4" max="4" width="12.25390625" style="0" customWidth="1"/>
    <col min="5" max="5" width="11.75390625" style="0" bestFit="1" customWidth="1"/>
    <col min="6" max="6" width="10.00390625" style="0" bestFit="1" customWidth="1"/>
    <col min="7" max="7" width="10.00390625" style="0" customWidth="1"/>
    <col min="8" max="8" width="9.875" style="0" customWidth="1"/>
    <col min="9" max="9" width="10.00390625" style="0" bestFit="1" customWidth="1"/>
    <col min="10" max="10" width="12.25390625" style="0" bestFit="1" customWidth="1"/>
    <col min="11" max="18" width="11.625" style="0" customWidth="1"/>
    <col min="19" max="19" width="12.75390625" style="0" bestFit="1" customWidth="1"/>
  </cols>
  <sheetData>
    <row r="1" spans="1:19" ht="18.75" thickTop="1">
      <c r="A1" s="113" t="s">
        <v>107</v>
      </c>
      <c r="B1" s="116"/>
      <c r="C1" s="116"/>
      <c r="D1" s="116"/>
      <c r="E1" s="116"/>
      <c r="F1" s="116"/>
      <c r="G1" s="116"/>
      <c r="H1" s="116"/>
      <c r="I1" s="116"/>
      <c r="J1" s="116"/>
      <c r="K1" s="116"/>
      <c r="L1" s="116"/>
      <c r="M1" s="116"/>
      <c r="N1" s="116"/>
      <c r="O1" s="116"/>
      <c r="P1" s="116"/>
      <c r="Q1" s="116"/>
      <c r="R1" s="116"/>
      <c r="S1" s="116"/>
    </row>
    <row r="2" spans="1:4" s="6" customFormat="1" ht="18">
      <c r="A2" s="13" t="s">
        <v>97</v>
      </c>
      <c r="D2" s="9"/>
    </row>
    <row r="3" spans="1:4" s="6" customFormat="1" ht="18">
      <c r="A3" s="13" t="s">
        <v>113</v>
      </c>
      <c r="D3" s="9"/>
    </row>
    <row r="4" spans="1:3" s="6" customFormat="1" ht="15.75">
      <c r="A4" s="15" t="s">
        <v>115</v>
      </c>
      <c r="C4" s="14">
        <v>0.03</v>
      </c>
    </row>
    <row r="5" spans="1:19" s="6" customFormat="1" ht="15.75">
      <c r="A5" s="19"/>
      <c r="B5" s="17"/>
      <c r="C5" s="15"/>
      <c r="D5" s="16"/>
      <c r="E5" s="15"/>
      <c r="F5" s="15"/>
      <c r="G5" s="15"/>
      <c r="H5" s="15"/>
      <c r="I5" s="15"/>
      <c r="J5" s="15"/>
      <c r="K5" s="15"/>
      <c r="L5" s="15"/>
      <c r="M5" s="15"/>
      <c r="N5" s="15"/>
      <c r="O5" s="15"/>
      <c r="P5" s="15"/>
      <c r="Q5" s="15"/>
      <c r="R5" s="15"/>
      <c r="S5" s="15"/>
    </row>
    <row r="6" spans="1:19" s="117" customFormat="1" ht="19.5" customHeight="1">
      <c r="A6" s="47"/>
      <c r="B6" s="47"/>
      <c r="C6" s="47"/>
      <c r="D6" s="77"/>
      <c r="E6" s="78" t="s">
        <v>3</v>
      </c>
      <c r="F6" s="78" t="s">
        <v>4</v>
      </c>
      <c r="G6" s="78" t="s">
        <v>5</v>
      </c>
      <c r="H6" s="78" t="s">
        <v>6</v>
      </c>
      <c r="I6" s="78" t="s">
        <v>7</v>
      </c>
      <c r="J6" s="78" t="s">
        <v>8</v>
      </c>
      <c r="K6" s="78" t="s">
        <v>9</v>
      </c>
      <c r="L6" s="78" t="s">
        <v>10</v>
      </c>
      <c r="M6" s="78" t="s">
        <v>11</v>
      </c>
      <c r="N6" s="78" t="s">
        <v>12</v>
      </c>
      <c r="O6" s="78" t="s">
        <v>13</v>
      </c>
      <c r="P6" s="78" t="s">
        <v>14</v>
      </c>
      <c r="Q6" s="78" t="s">
        <v>15</v>
      </c>
      <c r="R6" s="78" t="s">
        <v>16</v>
      </c>
      <c r="S6" s="78" t="s">
        <v>17</v>
      </c>
    </row>
    <row r="7" spans="1:19" s="118" customFormat="1" ht="19.5" customHeight="1">
      <c r="A7" s="19"/>
      <c r="B7" s="94"/>
      <c r="C7" s="19"/>
      <c r="D7" s="19"/>
      <c r="E7" s="281"/>
      <c r="F7" s="281"/>
      <c r="G7" s="281"/>
      <c r="H7" s="281"/>
      <c r="I7" s="281"/>
      <c r="J7" s="281"/>
      <c r="K7" s="281"/>
      <c r="L7" s="281"/>
      <c r="M7" s="281"/>
      <c r="N7" s="281"/>
      <c r="O7" s="19"/>
      <c r="P7" s="19"/>
      <c r="Q7" s="19"/>
      <c r="R7" s="19"/>
      <c r="S7" s="19"/>
    </row>
    <row r="8" spans="1:19" s="118" customFormat="1" ht="19.5" customHeight="1">
      <c r="A8" s="48"/>
      <c r="B8" s="64" t="s">
        <v>125</v>
      </c>
      <c r="C8" s="48"/>
      <c r="D8" s="65"/>
      <c r="E8" s="65"/>
      <c r="F8" s="65"/>
      <c r="G8" s="65"/>
      <c r="H8" s="65"/>
      <c r="I8" s="65"/>
      <c r="J8" s="65"/>
      <c r="K8" s="65"/>
      <c r="L8" s="65"/>
      <c r="M8" s="65"/>
      <c r="N8" s="65"/>
      <c r="O8" s="48"/>
      <c r="P8" s="48"/>
      <c r="Q8" s="48"/>
      <c r="R8" s="48"/>
      <c r="S8" s="48"/>
    </row>
    <row r="9" spans="1:19" s="118" customFormat="1" ht="19.5" customHeight="1">
      <c r="A9" s="19"/>
      <c r="B9" s="20" t="s">
        <v>55</v>
      </c>
      <c r="C9" s="21"/>
      <c r="D9" s="28">
        <f>+C4</f>
        <v>0.03</v>
      </c>
      <c r="E9" s="22">
        <f>1+D9</f>
        <v>1.03</v>
      </c>
      <c r="F9" s="22">
        <f aca="true" t="shared" si="0" ref="F9:S9">E9*(1+$D$9)</f>
        <v>1.0609</v>
      </c>
      <c r="G9" s="22">
        <f t="shared" si="0"/>
        <v>1.092727</v>
      </c>
      <c r="H9" s="22">
        <f t="shared" si="0"/>
        <v>1.1255088100000001</v>
      </c>
      <c r="I9" s="22">
        <f t="shared" si="0"/>
        <v>1.1592740743</v>
      </c>
      <c r="J9" s="22">
        <f t="shared" si="0"/>
        <v>1.1940522965290001</v>
      </c>
      <c r="K9" s="22">
        <f t="shared" si="0"/>
        <v>1.2298738654248702</v>
      </c>
      <c r="L9" s="22">
        <f t="shared" si="0"/>
        <v>1.2667700813876164</v>
      </c>
      <c r="M9" s="22">
        <f t="shared" si="0"/>
        <v>1.304773183829245</v>
      </c>
      <c r="N9" s="22">
        <f t="shared" si="0"/>
        <v>1.3439163793441222</v>
      </c>
      <c r="O9" s="22">
        <f t="shared" si="0"/>
        <v>1.384233870724446</v>
      </c>
      <c r="P9" s="22">
        <f t="shared" si="0"/>
        <v>1.4257608868461793</v>
      </c>
      <c r="Q9" s="22">
        <f t="shared" si="0"/>
        <v>1.4685337134515648</v>
      </c>
      <c r="R9" s="22">
        <f t="shared" si="0"/>
        <v>1.512589724855112</v>
      </c>
      <c r="S9" s="22">
        <f t="shared" si="0"/>
        <v>1.5579674166007653</v>
      </c>
    </row>
    <row r="10" spans="1:19" s="118" customFormat="1" ht="19.5" customHeight="1">
      <c r="A10" s="19"/>
      <c r="B10" s="20" t="s">
        <v>65</v>
      </c>
      <c r="C10" s="19"/>
      <c r="D10" s="96">
        <f>+'Development Program'!C14</f>
        <v>300</v>
      </c>
      <c r="E10" s="97">
        <f>+'Development Program'!F14</f>
        <v>0</v>
      </c>
      <c r="F10" s="97">
        <f>+'Development Program'!G14</f>
        <v>0</v>
      </c>
      <c r="G10" s="97">
        <f>+'Development Program'!H14</f>
        <v>0</v>
      </c>
      <c r="H10" s="97">
        <f>+'Development Program'!I14</f>
        <v>0</v>
      </c>
      <c r="I10" s="97">
        <f>+'Development Program'!J14</f>
        <v>0</v>
      </c>
      <c r="J10" s="97">
        <f>+'Development Program'!K14</f>
        <v>0</v>
      </c>
      <c r="K10" s="97">
        <f>+'Development Program'!L14</f>
        <v>300</v>
      </c>
      <c r="L10" s="97">
        <f>+'Development Program'!M14</f>
        <v>300</v>
      </c>
      <c r="M10" s="97">
        <f>+'Development Program'!N14</f>
        <v>300</v>
      </c>
      <c r="N10" s="97">
        <f>+'Development Program'!O14</f>
        <v>300</v>
      </c>
      <c r="O10" s="97">
        <f>+'Development Program'!P14</f>
        <v>300</v>
      </c>
      <c r="P10" s="97">
        <f>+'Development Program'!Q14</f>
        <v>300</v>
      </c>
      <c r="Q10" s="97">
        <f>+'Development Program'!R14</f>
        <v>300</v>
      </c>
      <c r="R10" s="97">
        <f>+'Development Program'!S14</f>
        <v>300</v>
      </c>
      <c r="S10" s="97">
        <f>+'Development Program'!T14</f>
        <v>300</v>
      </c>
    </row>
    <row r="11" spans="1:22" s="118" customFormat="1" ht="19.5" customHeight="1">
      <c r="A11" s="19"/>
      <c r="B11" s="20" t="s">
        <v>62</v>
      </c>
      <c r="C11" s="19"/>
      <c r="D11" s="98">
        <v>0.28</v>
      </c>
      <c r="E11" s="263"/>
      <c r="F11" s="263"/>
      <c r="G11" s="263"/>
      <c r="H11" s="263"/>
      <c r="I11" s="263"/>
      <c r="J11" s="263"/>
      <c r="K11" s="263"/>
      <c r="L11" s="263"/>
      <c r="M11" s="263"/>
      <c r="N11" s="263"/>
      <c r="O11" s="263"/>
      <c r="P11" s="263"/>
      <c r="Q11" s="263"/>
      <c r="R11" s="263"/>
      <c r="S11" s="263"/>
      <c r="T11" s="264"/>
      <c r="U11" s="264"/>
      <c r="V11" s="264"/>
    </row>
    <row r="12" spans="1:22" s="118" customFormat="1" ht="19.5" customHeight="1">
      <c r="A12" s="19"/>
      <c r="B12" s="20" t="s">
        <v>58</v>
      </c>
      <c r="C12" s="19"/>
      <c r="D12" s="98">
        <f>1-D11</f>
        <v>0.72</v>
      </c>
      <c r="E12" s="263"/>
      <c r="F12" s="263"/>
      <c r="G12" s="263"/>
      <c r="H12" s="263"/>
      <c r="I12" s="263"/>
      <c r="J12" s="263"/>
      <c r="K12" s="263"/>
      <c r="L12" s="263"/>
      <c r="M12" s="263"/>
      <c r="N12" s="263"/>
      <c r="O12" s="263"/>
      <c r="P12" s="263"/>
      <c r="Q12" s="263"/>
      <c r="R12" s="263"/>
      <c r="S12" s="263"/>
      <c r="T12" s="264"/>
      <c r="U12" s="264"/>
      <c r="V12" s="264"/>
    </row>
    <row r="13" spans="1:19" s="118" customFormat="1" ht="19.5" customHeight="1">
      <c r="A13" s="53"/>
      <c r="B13" s="84" t="s">
        <v>66</v>
      </c>
      <c r="C13" s="126"/>
      <c r="D13" s="100">
        <v>175</v>
      </c>
      <c r="E13" s="100">
        <f aca="true" t="shared" si="1" ref="E13:S13">+$D13*E9</f>
        <v>180.25</v>
      </c>
      <c r="F13" s="100">
        <f t="shared" si="1"/>
        <v>185.6575</v>
      </c>
      <c r="G13" s="100">
        <f t="shared" si="1"/>
        <v>191.227225</v>
      </c>
      <c r="H13" s="100">
        <f t="shared" si="1"/>
        <v>196.96404175000004</v>
      </c>
      <c r="I13" s="100">
        <f t="shared" si="1"/>
        <v>202.8729630025</v>
      </c>
      <c r="J13" s="100">
        <f t="shared" si="1"/>
        <v>208.95915189257502</v>
      </c>
      <c r="K13" s="100">
        <f t="shared" si="1"/>
        <v>215.22792644935228</v>
      </c>
      <c r="L13" s="100">
        <f t="shared" si="1"/>
        <v>221.68476424283287</v>
      </c>
      <c r="M13" s="100">
        <f t="shared" si="1"/>
        <v>228.33530717011786</v>
      </c>
      <c r="N13" s="100">
        <f t="shared" si="1"/>
        <v>235.18536638522139</v>
      </c>
      <c r="O13" s="100">
        <f t="shared" si="1"/>
        <v>242.24092737677805</v>
      </c>
      <c r="P13" s="100">
        <f t="shared" si="1"/>
        <v>249.50815519808137</v>
      </c>
      <c r="Q13" s="100">
        <f t="shared" si="1"/>
        <v>256.99339985402383</v>
      </c>
      <c r="R13" s="100">
        <f t="shared" si="1"/>
        <v>264.7032018496446</v>
      </c>
      <c r="S13" s="100">
        <f t="shared" si="1"/>
        <v>272.64429790513395</v>
      </c>
    </row>
    <row r="14" spans="1:19" s="118" customFormat="1" ht="19.5" customHeight="1">
      <c r="A14" s="19"/>
      <c r="B14" s="19"/>
      <c r="C14" s="19"/>
      <c r="D14" s="19"/>
      <c r="E14" s="19"/>
      <c r="F14" s="19"/>
      <c r="G14" s="19"/>
      <c r="H14" s="19"/>
      <c r="I14" s="19"/>
      <c r="J14" s="19"/>
      <c r="K14" s="19"/>
      <c r="L14" s="19"/>
      <c r="M14" s="19"/>
      <c r="N14" s="19"/>
      <c r="O14" s="19"/>
      <c r="P14" s="19"/>
      <c r="Q14" s="19"/>
      <c r="R14" s="19"/>
      <c r="S14" s="19"/>
    </row>
    <row r="15" spans="1:19" s="118" customFormat="1" ht="19.5" customHeight="1">
      <c r="A15" s="19"/>
      <c r="B15" s="19"/>
      <c r="C15" s="19"/>
      <c r="D15" s="19"/>
      <c r="E15" s="19"/>
      <c r="F15" s="19"/>
      <c r="G15" s="19"/>
      <c r="H15" s="19"/>
      <c r="I15" s="19"/>
      <c r="J15" s="19"/>
      <c r="K15" s="19"/>
      <c r="L15" s="19"/>
      <c r="M15" s="19"/>
      <c r="N15" s="19"/>
      <c r="O15" s="19"/>
      <c r="P15" s="19"/>
      <c r="Q15" s="19"/>
      <c r="R15" s="19"/>
      <c r="S15" s="19"/>
    </row>
    <row r="16" spans="1:19" s="118" customFormat="1" ht="19.5" customHeight="1">
      <c r="A16" s="48"/>
      <c r="B16" s="64" t="s">
        <v>86</v>
      </c>
      <c r="C16" s="48"/>
      <c r="D16" s="65"/>
      <c r="E16" s="65"/>
      <c r="F16" s="65"/>
      <c r="G16" s="65"/>
      <c r="H16" s="65"/>
      <c r="I16" s="65"/>
      <c r="J16" s="65"/>
      <c r="K16" s="65"/>
      <c r="L16" s="65"/>
      <c r="M16" s="65"/>
      <c r="N16" s="65"/>
      <c r="O16" s="48"/>
      <c r="P16" s="48"/>
      <c r="Q16" s="48"/>
      <c r="R16" s="48"/>
      <c r="S16" s="48"/>
    </row>
    <row r="17" spans="1:19" s="122" customFormat="1" ht="19.5" customHeight="1">
      <c r="A17" s="51"/>
      <c r="B17" s="52" t="s">
        <v>67</v>
      </c>
      <c r="C17" s="51"/>
      <c r="D17" s="51"/>
      <c r="E17" s="39">
        <f>(E13*E10*(1-$D11)*365)/1000</f>
        <v>0</v>
      </c>
      <c r="F17" s="39">
        <f aca="true" t="shared" si="2" ref="F17:S17">(F13*F10*(1-$D11)*365)/1000</f>
        <v>0</v>
      </c>
      <c r="G17" s="39">
        <f t="shared" si="2"/>
        <v>0</v>
      </c>
      <c r="H17" s="39">
        <f t="shared" si="2"/>
        <v>0</v>
      </c>
      <c r="I17" s="39">
        <f t="shared" si="2"/>
        <v>0</v>
      </c>
      <c r="J17" s="39">
        <f t="shared" si="2"/>
        <v>0</v>
      </c>
      <c r="K17" s="39">
        <f t="shared" si="2"/>
        <v>16968.569721266933</v>
      </c>
      <c r="L17" s="39">
        <f t="shared" si="2"/>
        <v>17477.62681290494</v>
      </c>
      <c r="M17" s="39">
        <f t="shared" si="2"/>
        <v>18001.955617292093</v>
      </c>
      <c r="N17" s="39">
        <f t="shared" si="2"/>
        <v>18542.014285810856</v>
      </c>
      <c r="O17" s="39">
        <f t="shared" si="2"/>
        <v>19098.274714385178</v>
      </c>
      <c r="P17" s="39">
        <f t="shared" si="2"/>
        <v>19671.222955816735</v>
      </c>
      <c r="Q17" s="39">
        <f t="shared" si="2"/>
        <v>20261.35964449124</v>
      </c>
      <c r="R17" s="39">
        <f t="shared" si="2"/>
        <v>20869.20043382598</v>
      </c>
      <c r="S17" s="39">
        <f t="shared" si="2"/>
        <v>21495.27644684076</v>
      </c>
    </row>
    <row r="18" spans="1:19" s="122" customFormat="1" ht="19.5" customHeight="1">
      <c r="A18" s="51"/>
      <c r="B18" s="52" t="s">
        <v>146</v>
      </c>
      <c r="C18" s="51"/>
      <c r="D18" s="51"/>
      <c r="E18" s="39">
        <f>E17*0.64</f>
        <v>0</v>
      </c>
      <c r="F18" s="39">
        <f aca="true" t="shared" si="3" ref="F18:S18">F17*0.64</f>
        <v>0</v>
      </c>
      <c r="G18" s="39">
        <f t="shared" si="3"/>
        <v>0</v>
      </c>
      <c r="H18" s="39">
        <f t="shared" si="3"/>
        <v>0</v>
      </c>
      <c r="I18" s="39">
        <f t="shared" si="3"/>
        <v>0</v>
      </c>
      <c r="J18" s="39">
        <f t="shared" si="3"/>
        <v>0</v>
      </c>
      <c r="K18" s="39">
        <f t="shared" si="3"/>
        <v>10859.884621610838</v>
      </c>
      <c r="L18" s="39">
        <f t="shared" si="3"/>
        <v>11185.68116025916</v>
      </c>
      <c r="M18" s="39">
        <f t="shared" si="3"/>
        <v>11521.25159506694</v>
      </c>
      <c r="N18" s="39">
        <f t="shared" si="3"/>
        <v>11866.889142918948</v>
      </c>
      <c r="O18" s="39">
        <f t="shared" si="3"/>
        <v>12222.895817206514</v>
      </c>
      <c r="P18" s="39">
        <f t="shared" si="3"/>
        <v>12589.58269172271</v>
      </c>
      <c r="Q18" s="39">
        <f t="shared" si="3"/>
        <v>12967.270172474395</v>
      </c>
      <c r="R18" s="39">
        <f t="shared" si="3"/>
        <v>13356.288277648628</v>
      </c>
      <c r="S18" s="39">
        <f t="shared" si="3"/>
        <v>13756.976925978086</v>
      </c>
    </row>
    <row r="19" spans="1:19" s="122" customFormat="1" ht="19.5" customHeight="1">
      <c r="A19" s="51"/>
      <c r="B19" s="52" t="s">
        <v>148</v>
      </c>
      <c r="C19" s="51"/>
      <c r="D19" s="51"/>
      <c r="E19" s="39">
        <f>E18+E17</f>
        <v>0</v>
      </c>
      <c r="F19" s="39">
        <f aca="true" t="shared" si="4" ref="F19:S19">F18+F17</f>
        <v>0</v>
      </c>
      <c r="G19" s="39">
        <f t="shared" si="4"/>
        <v>0</v>
      </c>
      <c r="H19" s="39">
        <f t="shared" si="4"/>
        <v>0</v>
      </c>
      <c r="I19" s="39">
        <f t="shared" si="4"/>
        <v>0</v>
      </c>
      <c r="J19" s="39">
        <f t="shared" si="4"/>
        <v>0</v>
      </c>
      <c r="K19" s="39">
        <f t="shared" si="4"/>
        <v>27828.45434287777</v>
      </c>
      <c r="L19" s="39">
        <f t="shared" si="4"/>
        <v>28663.307973164097</v>
      </c>
      <c r="M19" s="39">
        <f t="shared" si="4"/>
        <v>29523.207212359033</v>
      </c>
      <c r="N19" s="39">
        <f t="shared" si="4"/>
        <v>30408.903428729805</v>
      </c>
      <c r="O19" s="39">
        <f t="shared" si="4"/>
        <v>31321.17053159169</v>
      </c>
      <c r="P19" s="39">
        <f t="shared" si="4"/>
        <v>32260.805647539444</v>
      </c>
      <c r="Q19" s="39">
        <f t="shared" si="4"/>
        <v>33228.62981696564</v>
      </c>
      <c r="R19" s="39">
        <f t="shared" si="4"/>
        <v>34225.48871147461</v>
      </c>
      <c r="S19" s="39">
        <f t="shared" si="4"/>
        <v>35252.25337281884</v>
      </c>
    </row>
    <row r="20" spans="1:19" s="118" customFormat="1" ht="19.5" customHeight="1">
      <c r="A20" s="19"/>
      <c r="B20" s="19" t="s">
        <v>147</v>
      </c>
      <c r="C20" s="19"/>
      <c r="D20" s="123">
        <v>0.72</v>
      </c>
      <c r="E20" s="39">
        <f>E19*$D$20</f>
        <v>0</v>
      </c>
      <c r="F20" s="39">
        <f aca="true" t="shared" si="5" ref="F20:S20">F19*$D$20</f>
        <v>0</v>
      </c>
      <c r="G20" s="39">
        <f t="shared" si="5"/>
        <v>0</v>
      </c>
      <c r="H20" s="39">
        <f t="shared" si="5"/>
        <v>0</v>
      </c>
      <c r="I20" s="39">
        <f t="shared" si="5"/>
        <v>0</v>
      </c>
      <c r="J20" s="39">
        <f t="shared" si="5"/>
        <v>0</v>
      </c>
      <c r="K20" s="39">
        <f t="shared" si="5"/>
        <v>20036.487126871994</v>
      </c>
      <c r="L20" s="39">
        <f t="shared" si="5"/>
        <v>20637.58174067815</v>
      </c>
      <c r="M20" s="39">
        <f t="shared" si="5"/>
        <v>21256.709192898503</v>
      </c>
      <c r="N20" s="39">
        <f t="shared" si="5"/>
        <v>21894.41046868546</v>
      </c>
      <c r="O20" s="39">
        <f t="shared" si="5"/>
        <v>22551.242782746016</v>
      </c>
      <c r="P20" s="39">
        <f t="shared" si="5"/>
        <v>23227.7800662284</v>
      </c>
      <c r="Q20" s="39">
        <f t="shared" si="5"/>
        <v>23924.61346821526</v>
      </c>
      <c r="R20" s="39">
        <f t="shared" si="5"/>
        <v>24642.35187226172</v>
      </c>
      <c r="S20" s="39">
        <f t="shared" si="5"/>
        <v>25381.622428429568</v>
      </c>
    </row>
    <row r="21" spans="1:19" s="118" customFormat="1" ht="19.5" customHeight="1">
      <c r="A21" s="53"/>
      <c r="B21" s="54" t="s">
        <v>86</v>
      </c>
      <c r="C21" s="53"/>
      <c r="D21" s="53"/>
      <c r="E21" s="55">
        <f>E19-E20</f>
        <v>0</v>
      </c>
      <c r="F21" s="55">
        <f aca="true" t="shared" si="6" ref="F21:S21">F19-F20</f>
        <v>0</v>
      </c>
      <c r="G21" s="55">
        <f t="shared" si="6"/>
        <v>0</v>
      </c>
      <c r="H21" s="55">
        <f t="shared" si="6"/>
        <v>0</v>
      </c>
      <c r="I21" s="55">
        <f t="shared" si="6"/>
        <v>0</v>
      </c>
      <c r="J21" s="55">
        <f t="shared" si="6"/>
        <v>0</v>
      </c>
      <c r="K21" s="55">
        <f t="shared" si="6"/>
        <v>7791.967216005774</v>
      </c>
      <c r="L21" s="55">
        <f t="shared" si="6"/>
        <v>8025.726232485948</v>
      </c>
      <c r="M21" s="55">
        <f t="shared" si="6"/>
        <v>8266.49801946053</v>
      </c>
      <c r="N21" s="55">
        <f t="shared" si="6"/>
        <v>8514.492960044347</v>
      </c>
      <c r="O21" s="55">
        <f t="shared" si="6"/>
        <v>8769.927748845676</v>
      </c>
      <c r="P21" s="55">
        <f t="shared" si="6"/>
        <v>9033.025581311045</v>
      </c>
      <c r="Q21" s="55">
        <f t="shared" si="6"/>
        <v>9304.016348750378</v>
      </c>
      <c r="R21" s="55">
        <f t="shared" si="6"/>
        <v>9583.13683921289</v>
      </c>
      <c r="S21" s="55">
        <f t="shared" si="6"/>
        <v>9870.630944389275</v>
      </c>
    </row>
    <row r="22" spans="1:19" s="118" customFormat="1" ht="19.5" customHeight="1">
      <c r="A22" s="19"/>
      <c r="B22" s="19"/>
      <c r="C22" s="19"/>
      <c r="D22" s="19"/>
      <c r="E22" s="19"/>
      <c r="F22" s="19"/>
      <c r="G22" s="19"/>
      <c r="H22" s="19"/>
      <c r="I22" s="19"/>
      <c r="J22" s="19"/>
      <c r="K22" s="19"/>
      <c r="L22" s="19"/>
      <c r="M22" s="19"/>
      <c r="N22" s="19"/>
      <c r="O22" s="19"/>
      <c r="P22" s="19"/>
      <c r="Q22" s="19"/>
      <c r="R22" s="19"/>
      <c r="S22" s="19"/>
    </row>
    <row r="23" spans="1:19" s="118" customFormat="1" ht="19.5" customHeight="1">
      <c r="A23" s="19"/>
      <c r="B23" s="19"/>
      <c r="C23" s="19"/>
      <c r="D23" s="19"/>
      <c r="E23" s="19"/>
      <c r="F23" s="19"/>
      <c r="G23" s="19"/>
      <c r="H23" s="19"/>
      <c r="I23" s="19"/>
      <c r="J23" s="19"/>
      <c r="K23" s="19"/>
      <c r="L23" s="19"/>
      <c r="M23" s="19"/>
      <c r="N23" s="19"/>
      <c r="O23" s="19"/>
      <c r="P23" s="19"/>
      <c r="Q23" s="19"/>
      <c r="R23" s="19"/>
      <c r="S23" s="19"/>
    </row>
    <row r="24" spans="1:19" s="122" customFormat="1" ht="19.5" customHeight="1">
      <c r="A24" s="48"/>
      <c r="B24" s="68" t="s">
        <v>88</v>
      </c>
      <c r="C24" s="48"/>
      <c r="D24" s="48"/>
      <c r="E24" s="48"/>
      <c r="F24" s="48"/>
      <c r="G24" s="48"/>
      <c r="H24" s="48"/>
      <c r="I24" s="48"/>
      <c r="J24" s="48"/>
      <c r="K24" s="48"/>
      <c r="L24" s="48"/>
      <c r="M24" s="48"/>
      <c r="N24" s="48"/>
      <c r="O24" s="48"/>
      <c r="P24" s="48"/>
      <c r="Q24" s="48"/>
      <c r="R24" s="48"/>
      <c r="S24" s="48"/>
    </row>
    <row r="25" spans="1:19" s="122" customFormat="1" ht="19.5" customHeight="1">
      <c r="A25" s="51"/>
      <c r="B25" s="19" t="s">
        <v>89</v>
      </c>
      <c r="C25" s="19"/>
      <c r="D25" s="19"/>
      <c r="E25" s="42">
        <f>+F26-E26</f>
        <v>0</v>
      </c>
      <c r="F25" s="42">
        <f aca="true" t="shared" si="7" ref="F25:R25">+G26-F26</f>
        <v>0</v>
      </c>
      <c r="G25" s="42">
        <f t="shared" si="7"/>
        <v>0</v>
      </c>
      <c r="H25" s="42">
        <f t="shared" si="7"/>
        <v>0</v>
      </c>
      <c r="I25" s="42">
        <f t="shared" si="7"/>
        <v>0</v>
      </c>
      <c r="J25" s="42">
        <f t="shared" si="7"/>
        <v>1</v>
      </c>
      <c r="K25" s="42">
        <f t="shared" si="7"/>
        <v>0</v>
      </c>
      <c r="L25" s="42">
        <f t="shared" si="7"/>
        <v>0</v>
      </c>
      <c r="M25" s="42">
        <f t="shared" si="7"/>
        <v>0</v>
      </c>
      <c r="N25" s="42">
        <f t="shared" si="7"/>
        <v>0</v>
      </c>
      <c r="O25" s="42">
        <f t="shared" si="7"/>
        <v>0</v>
      </c>
      <c r="P25" s="42">
        <f t="shared" si="7"/>
        <v>0</v>
      </c>
      <c r="Q25" s="42">
        <f t="shared" si="7"/>
        <v>0</v>
      </c>
      <c r="R25" s="42">
        <f t="shared" si="7"/>
        <v>0</v>
      </c>
      <c r="S25" s="42">
        <v>0</v>
      </c>
    </row>
    <row r="26" spans="1:19" s="122" customFormat="1" ht="19.5" customHeight="1" hidden="1">
      <c r="A26" s="51"/>
      <c r="B26" s="19" t="s">
        <v>89</v>
      </c>
      <c r="C26" s="19"/>
      <c r="D26" s="19"/>
      <c r="E26" s="42">
        <f aca="true" t="shared" si="8" ref="E26:S26">+E10/$D$10</f>
        <v>0</v>
      </c>
      <c r="F26" s="42">
        <f t="shared" si="8"/>
        <v>0</v>
      </c>
      <c r="G26" s="42">
        <f t="shared" si="8"/>
        <v>0</v>
      </c>
      <c r="H26" s="42">
        <f t="shared" si="8"/>
        <v>0</v>
      </c>
      <c r="I26" s="42">
        <f t="shared" si="8"/>
        <v>0</v>
      </c>
      <c r="J26" s="42">
        <f t="shared" si="8"/>
        <v>0</v>
      </c>
      <c r="K26" s="42">
        <f t="shared" si="8"/>
        <v>1</v>
      </c>
      <c r="L26" s="42">
        <f t="shared" si="8"/>
        <v>1</v>
      </c>
      <c r="M26" s="42">
        <f t="shared" si="8"/>
        <v>1</v>
      </c>
      <c r="N26" s="42">
        <f t="shared" si="8"/>
        <v>1</v>
      </c>
      <c r="O26" s="42">
        <f t="shared" si="8"/>
        <v>1</v>
      </c>
      <c r="P26" s="42">
        <f t="shared" si="8"/>
        <v>1</v>
      </c>
      <c r="Q26" s="42">
        <f t="shared" si="8"/>
        <v>1</v>
      </c>
      <c r="R26" s="42">
        <f t="shared" si="8"/>
        <v>1</v>
      </c>
      <c r="S26" s="42">
        <f t="shared" si="8"/>
        <v>1</v>
      </c>
    </row>
    <row r="27" spans="1:19" s="122" customFormat="1" ht="19.5" customHeight="1">
      <c r="A27" s="51"/>
      <c r="B27" s="19" t="s">
        <v>88</v>
      </c>
      <c r="C27" s="19"/>
      <c r="D27" s="41">
        <f>+'Development Costs'!I17*Hotel!D10/1000</f>
        <v>57750</v>
      </c>
      <c r="E27" s="39">
        <f>+$D$27*E25*E9</f>
        <v>0</v>
      </c>
      <c r="F27" s="39">
        <f aca="true" t="shared" si="9" ref="F27:S27">+$D$27*F25*F9</f>
        <v>0</v>
      </c>
      <c r="G27" s="39">
        <f t="shared" si="9"/>
        <v>0</v>
      </c>
      <c r="H27" s="39">
        <f t="shared" si="9"/>
        <v>0</v>
      </c>
      <c r="I27" s="39">
        <f t="shared" si="9"/>
        <v>0</v>
      </c>
      <c r="J27" s="39">
        <f t="shared" si="9"/>
        <v>68956.52012454976</v>
      </c>
      <c r="K27" s="39">
        <f t="shared" si="9"/>
        <v>0</v>
      </c>
      <c r="L27" s="39">
        <f t="shared" si="9"/>
        <v>0</v>
      </c>
      <c r="M27" s="39">
        <f t="shared" si="9"/>
        <v>0</v>
      </c>
      <c r="N27" s="39">
        <f t="shared" si="9"/>
        <v>0</v>
      </c>
      <c r="O27" s="39">
        <f t="shared" si="9"/>
        <v>0</v>
      </c>
      <c r="P27" s="39">
        <f t="shared" si="9"/>
        <v>0</v>
      </c>
      <c r="Q27" s="39">
        <f t="shared" si="9"/>
        <v>0</v>
      </c>
      <c r="R27" s="39">
        <f t="shared" si="9"/>
        <v>0</v>
      </c>
      <c r="S27" s="39">
        <f t="shared" si="9"/>
        <v>0</v>
      </c>
    </row>
    <row r="28" spans="1:19" s="122" customFormat="1" ht="19.5" customHeight="1">
      <c r="A28" s="51"/>
      <c r="B28" s="19" t="s">
        <v>139</v>
      </c>
      <c r="C28" s="19"/>
      <c r="D28" s="267"/>
      <c r="E28" s="39">
        <f>+'Infrastructure Costs'!E16</f>
        <v>0</v>
      </c>
      <c r="F28" s="39">
        <f>+'Infrastructure Costs'!F16</f>
        <v>0</v>
      </c>
      <c r="G28" s="39">
        <f>+'Infrastructure Costs'!G16</f>
        <v>0</v>
      </c>
      <c r="H28" s="39">
        <f>+'Infrastructure Costs'!H16</f>
        <v>0</v>
      </c>
      <c r="I28" s="39">
        <f>+'Infrastructure Costs'!I16</f>
        <v>0</v>
      </c>
      <c r="J28" s="39">
        <f>+'Infrastructure Costs'!J16</f>
        <v>967.9027208061401</v>
      </c>
      <c r="K28" s="39">
        <f>+'Infrastructure Costs'!K16</f>
        <v>0</v>
      </c>
      <c r="L28" s="39">
        <f>+'Infrastructure Costs'!L16</f>
        <v>0</v>
      </c>
      <c r="M28" s="39">
        <f>+'Infrastructure Costs'!M16</f>
        <v>0</v>
      </c>
      <c r="N28" s="39">
        <f>+'Infrastructure Costs'!N16</f>
        <v>0</v>
      </c>
      <c r="O28" s="39">
        <f>+'Infrastructure Costs'!O16</f>
        <v>0</v>
      </c>
      <c r="P28" s="39">
        <f>+'Infrastructure Costs'!P16</f>
        <v>0</v>
      </c>
      <c r="Q28" s="39">
        <f>+'Infrastructure Costs'!Q16</f>
        <v>0</v>
      </c>
      <c r="R28" s="39">
        <f>+'Infrastructure Costs'!R16</f>
        <v>0</v>
      </c>
      <c r="S28" s="39">
        <f>+'Infrastructure Costs'!S16</f>
        <v>0</v>
      </c>
    </row>
    <row r="29" spans="1:19" s="119" customFormat="1" ht="19.5" customHeight="1">
      <c r="A29" s="54"/>
      <c r="B29" s="54" t="s">
        <v>96</v>
      </c>
      <c r="C29" s="54"/>
      <c r="D29" s="54"/>
      <c r="E29" s="103">
        <f>+E28+E27</f>
        <v>0</v>
      </c>
      <c r="F29" s="103">
        <f aca="true" t="shared" si="10" ref="F29:S29">+F28+F27</f>
        <v>0</v>
      </c>
      <c r="G29" s="103">
        <f t="shared" si="10"/>
        <v>0</v>
      </c>
      <c r="H29" s="103">
        <f t="shared" si="10"/>
        <v>0</v>
      </c>
      <c r="I29" s="103">
        <f t="shared" si="10"/>
        <v>0</v>
      </c>
      <c r="J29" s="103">
        <f t="shared" si="10"/>
        <v>69924.4228453559</v>
      </c>
      <c r="K29" s="103">
        <f t="shared" si="10"/>
        <v>0</v>
      </c>
      <c r="L29" s="103">
        <f t="shared" si="10"/>
        <v>0</v>
      </c>
      <c r="M29" s="103">
        <f t="shared" si="10"/>
        <v>0</v>
      </c>
      <c r="N29" s="103">
        <f t="shared" si="10"/>
        <v>0</v>
      </c>
      <c r="O29" s="103">
        <f t="shared" si="10"/>
        <v>0</v>
      </c>
      <c r="P29" s="103">
        <f t="shared" si="10"/>
        <v>0</v>
      </c>
      <c r="Q29" s="103">
        <f t="shared" si="10"/>
        <v>0</v>
      </c>
      <c r="R29" s="103">
        <f t="shared" si="10"/>
        <v>0</v>
      </c>
      <c r="S29" s="103">
        <f t="shared" si="10"/>
        <v>0</v>
      </c>
    </row>
    <row r="30" spans="1:19" s="118" customFormat="1" ht="19.5" customHeight="1">
      <c r="A30" s="19"/>
      <c r="B30" s="19"/>
      <c r="C30" s="19"/>
      <c r="D30" s="19"/>
      <c r="E30" s="19"/>
      <c r="F30" s="19"/>
      <c r="G30" s="19"/>
      <c r="H30" s="19"/>
      <c r="I30" s="19"/>
      <c r="J30" s="19"/>
      <c r="K30" s="19"/>
      <c r="L30" s="19"/>
      <c r="M30" s="19"/>
      <c r="N30" s="19"/>
      <c r="O30" s="19"/>
      <c r="P30" s="19"/>
      <c r="Q30" s="19"/>
      <c r="R30" s="19"/>
      <c r="S30" s="19"/>
    </row>
    <row r="31" spans="1:19" s="118" customFormat="1" ht="19.5" customHeight="1">
      <c r="A31" s="19"/>
      <c r="B31" s="19"/>
      <c r="C31" s="19"/>
      <c r="D31" s="19"/>
      <c r="E31" s="19"/>
      <c r="F31" s="19"/>
      <c r="G31" s="19"/>
      <c r="H31" s="19"/>
      <c r="I31" s="19"/>
      <c r="J31" s="19"/>
      <c r="K31" s="19"/>
      <c r="L31" s="19"/>
      <c r="M31" s="19"/>
      <c r="N31" s="19"/>
      <c r="O31" s="19"/>
      <c r="P31" s="19"/>
      <c r="Q31" s="19"/>
      <c r="R31" s="19"/>
      <c r="S31" s="19"/>
    </row>
    <row r="32" spans="1:19" s="118" customFormat="1" ht="19.5" customHeight="1">
      <c r="A32" s="48"/>
      <c r="B32" s="68" t="s">
        <v>118</v>
      </c>
      <c r="C32" s="48"/>
      <c r="D32" s="48"/>
      <c r="E32" s="48"/>
      <c r="F32" s="48"/>
      <c r="G32" s="48"/>
      <c r="H32" s="48"/>
      <c r="I32" s="48"/>
      <c r="J32" s="48"/>
      <c r="K32" s="48"/>
      <c r="L32" s="48"/>
      <c r="M32" s="48"/>
      <c r="N32" s="48"/>
      <c r="O32" s="48"/>
      <c r="P32" s="48"/>
      <c r="Q32" s="48"/>
      <c r="R32" s="48"/>
      <c r="S32" s="48"/>
    </row>
    <row r="33" spans="1:19" s="118" customFormat="1" ht="19.5" customHeight="1">
      <c r="A33" s="19"/>
      <c r="B33" s="19" t="str">
        <f>+B21</f>
        <v>Net Operating Income</v>
      </c>
      <c r="C33" s="19"/>
      <c r="D33" s="19"/>
      <c r="E33" s="104">
        <f>+E21</f>
        <v>0</v>
      </c>
      <c r="F33" s="104">
        <f aca="true" t="shared" si="11" ref="F33:S33">+F21</f>
        <v>0</v>
      </c>
      <c r="G33" s="104">
        <f t="shared" si="11"/>
        <v>0</v>
      </c>
      <c r="H33" s="104">
        <f t="shared" si="11"/>
        <v>0</v>
      </c>
      <c r="I33" s="104">
        <f t="shared" si="11"/>
        <v>0</v>
      </c>
      <c r="J33" s="104">
        <f t="shared" si="11"/>
        <v>0</v>
      </c>
      <c r="K33" s="104">
        <f t="shared" si="11"/>
        <v>7791.967216005774</v>
      </c>
      <c r="L33" s="104">
        <f t="shared" si="11"/>
        <v>8025.726232485948</v>
      </c>
      <c r="M33" s="104">
        <f t="shared" si="11"/>
        <v>8266.49801946053</v>
      </c>
      <c r="N33" s="104">
        <f t="shared" si="11"/>
        <v>8514.492960044347</v>
      </c>
      <c r="O33" s="104">
        <f t="shared" si="11"/>
        <v>8769.927748845676</v>
      </c>
      <c r="P33" s="104">
        <f t="shared" si="11"/>
        <v>9033.025581311045</v>
      </c>
      <c r="Q33" s="104">
        <f t="shared" si="11"/>
        <v>9304.016348750378</v>
      </c>
      <c r="R33" s="104">
        <f t="shared" si="11"/>
        <v>9583.13683921289</v>
      </c>
      <c r="S33" s="104">
        <f t="shared" si="11"/>
        <v>9870.630944389275</v>
      </c>
    </row>
    <row r="34" spans="1:19" s="118" customFormat="1" ht="19.5" customHeight="1">
      <c r="A34" s="19"/>
      <c r="B34" s="19" t="s">
        <v>127</v>
      </c>
      <c r="C34" s="43">
        <v>0.1</v>
      </c>
      <c r="D34" s="19"/>
      <c r="E34" s="104"/>
      <c r="F34" s="104"/>
      <c r="G34" s="104"/>
      <c r="H34" s="104"/>
      <c r="I34" s="104"/>
      <c r="J34" s="104"/>
      <c r="K34" s="104"/>
      <c r="L34" s="104"/>
      <c r="M34" s="104"/>
      <c r="N34" s="104"/>
      <c r="O34" s="104"/>
      <c r="P34" s="104"/>
      <c r="Q34" s="104"/>
      <c r="R34" s="104"/>
      <c r="S34" s="104">
        <f>+S33/C34</f>
        <v>98706.30944389275</v>
      </c>
    </row>
    <row r="35" spans="1:19" s="118" customFormat="1" ht="19.5" customHeight="1">
      <c r="A35" s="19"/>
      <c r="B35" s="19" t="s">
        <v>119</v>
      </c>
      <c r="C35" s="43">
        <v>0.05</v>
      </c>
      <c r="D35" s="19"/>
      <c r="E35" s="104"/>
      <c r="F35" s="104"/>
      <c r="G35" s="104"/>
      <c r="H35" s="104"/>
      <c r="I35" s="104"/>
      <c r="J35" s="104"/>
      <c r="K35" s="104"/>
      <c r="L35" s="104"/>
      <c r="M35" s="104"/>
      <c r="N35" s="104"/>
      <c r="O35" s="104"/>
      <c r="P35" s="104"/>
      <c r="Q35" s="104"/>
      <c r="R35" s="104"/>
      <c r="S35" s="104">
        <f>-S34*C35</f>
        <v>-4935.315472194638</v>
      </c>
    </row>
    <row r="36" spans="1:19" s="118" customFormat="1" ht="19.5" customHeight="1">
      <c r="A36" s="19"/>
      <c r="B36" s="19" t="str">
        <f>+B29</f>
        <v>Total Development Costs</v>
      </c>
      <c r="C36" s="19"/>
      <c r="D36" s="19"/>
      <c r="E36" s="105">
        <f>-E29</f>
        <v>0</v>
      </c>
      <c r="F36" s="105">
        <f aca="true" t="shared" si="12" ref="F36:S36">-F29</f>
        <v>0</v>
      </c>
      <c r="G36" s="105">
        <f t="shared" si="12"/>
        <v>0</v>
      </c>
      <c r="H36" s="105">
        <f t="shared" si="12"/>
        <v>0</v>
      </c>
      <c r="I36" s="105">
        <f t="shared" si="12"/>
        <v>0</v>
      </c>
      <c r="J36" s="105">
        <f t="shared" si="12"/>
        <v>-69924.4228453559</v>
      </c>
      <c r="K36" s="105">
        <f t="shared" si="12"/>
        <v>0</v>
      </c>
      <c r="L36" s="105">
        <f t="shared" si="12"/>
        <v>0</v>
      </c>
      <c r="M36" s="105">
        <f t="shared" si="12"/>
        <v>0</v>
      </c>
      <c r="N36" s="105">
        <f t="shared" si="12"/>
        <v>0</v>
      </c>
      <c r="O36" s="105">
        <f t="shared" si="12"/>
        <v>0</v>
      </c>
      <c r="P36" s="105">
        <f t="shared" si="12"/>
        <v>0</v>
      </c>
      <c r="Q36" s="105">
        <f t="shared" si="12"/>
        <v>0</v>
      </c>
      <c r="R36" s="105">
        <f t="shared" si="12"/>
        <v>0</v>
      </c>
      <c r="S36" s="105">
        <f t="shared" si="12"/>
        <v>0</v>
      </c>
    </row>
    <row r="37" spans="1:19" s="118" customFormat="1" ht="19.5" customHeight="1">
      <c r="A37" s="53"/>
      <c r="B37" s="53" t="s">
        <v>90</v>
      </c>
      <c r="C37" s="53"/>
      <c r="D37" s="59"/>
      <c r="E37" s="111">
        <f>SUM(E33:E36)</f>
        <v>0</v>
      </c>
      <c r="F37" s="111">
        <f aca="true" t="shared" si="13" ref="F37:S37">SUM(F33:F36)</f>
        <v>0</v>
      </c>
      <c r="G37" s="111">
        <f t="shared" si="13"/>
        <v>0</v>
      </c>
      <c r="H37" s="111">
        <f t="shared" si="13"/>
        <v>0</v>
      </c>
      <c r="I37" s="111">
        <f t="shared" si="13"/>
        <v>0</v>
      </c>
      <c r="J37" s="111">
        <f t="shared" si="13"/>
        <v>-69924.4228453559</v>
      </c>
      <c r="K37" s="111">
        <f t="shared" si="13"/>
        <v>7791.967216005774</v>
      </c>
      <c r="L37" s="111">
        <f t="shared" si="13"/>
        <v>8025.726232485948</v>
      </c>
      <c r="M37" s="111">
        <f t="shared" si="13"/>
        <v>8266.49801946053</v>
      </c>
      <c r="N37" s="111">
        <f t="shared" si="13"/>
        <v>8514.492960044347</v>
      </c>
      <c r="O37" s="111">
        <f t="shared" si="13"/>
        <v>8769.927748845676</v>
      </c>
      <c r="P37" s="111">
        <f t="shared" si="13"/>
        <v>9033.025581311045</v>
      </c>
      <c r="Q37" s="111">
        <f t="shared" si="13"/>
        <v>9304.016348750378</v>
      </c>
      <c r="R37" s="111">
        <f t="shared" si="13"/>
        <v>9583.13683921289</v>
      </c>
      <c r="S37" s="111">
        <f t="shared" si="13"/>
        <v>103641.6249160874</v>
      </c>
    </row>
    <row r="38" spans="1:19" s="118" customFormat="1" ht="19.5" customHeight="1">
      <c r="A38" s="19"/>
      <c r="B38" s="19"/>
      <c r="C38" s="19"/>
      <c r="D38" s="19"/>
      <c r="E38" s="19"/>
      <c r="F38" s="19"/>
      <c r="G38" s="19"/>
      <c r="H38" s="19"/>
      <c r="I38" s="19"/>
      <c r="J38" s="19"/>
      <c r="K38" s="19"/>
      <c r="L38" s="19"/>
      <c r="M38" s="19"/>
      <c r="N38" s="19"/>
      <c r="O38" s="19"/>
      <c r="P38" s="19"/>
      <c r="Q38" s="19"/>
      <c r="R38" s="19"/>
      <c r="S38" s="19"/>
    </row>
    <row r="39" spans="1:19" s="118" customFormat="1" ht="19.5" customHeight="1">
      <c r="A39" s="47"/>
      <c r="B39" s="57" t="s">
        <v>121</v>
      </c>
      <c r="C39" s="107">
        <v>0.1</v>
      </c>
      <c r="D39" s="127">
        <f>NPV(C39,E37:S37)</f>
        <v>11042.134788216921</v>
      </c>
      <c r="E39" s="57"/>
      <c r="F39" s="57"/>
      <c r="G39" s="57"/>
      <c r="H39" s="60" t="s">
        <v>91</v>
      </c>
      <c r="I39" s="109">
        <f>IRR(E37:S37,-0.1)</f>
        <v>0.14345377515714994</v>
      </c>
      <c r="J39" s="57"/>
      <c r="K39" s="57"/>
      <c r="L39" s="57"/>
      <c r="M39" s="57"/>
      <c r="N39" s="57"/>
      <c r="O39" s="57"/>
      <c r="P39" s="57"/>
      <c r="Q39" s="57"/>
      <c r="R39" s="57"/>
      <c r="S39" s="57"/>
    </row>
    <row r="40" spans="4:5" s="118" customFormat="1" ht="19.5" customHeight="1">
      <c r="D40" s="124"/>
      <c r="E40" s="125"/>
    </row>
    <row r="41" spans="4:5" s="118" customFormat="1" ht="19.5" customHeight="1">
      <c r="D41" s="124"/>
      <c r="E41" s="125"/>
    </row>
    <row r="42" spans="1:19" s="118" customFormat="1" ht="19.5" customHeight="1">
      <c r="A42" s="46" t="s">
        <v>120</v>
      </c>
      <c r="B42" s="46"/>
      <c r="C42" s="19"/>
      <c r="D42" s="19"/>
      <c r="E42" s="19"/>
      <c r="F42" s="19"/>
      <c r="G42" s="19"/>
      <c r="H42" s="19"/>
      <c r="I42" s="19"/>
      <c r="J42" s="19"/>
      <c r="K42" s="19"/>
      <c r="L42" s="19"/>
      <c r="M42" s="19"/>
      <c r="N42" s="19"/>
      <c r="O42" s="19"/>
      <c r="P42" s="19"/>
      <c r="Q42" s="19"/>
      <c r="R42" s="19"/>
      <c r="S42" s="19"/>
    </row>
    <row r="43" spans="1:19" s="118" customFormat="1" ht="19.5" customHeight="1">
      <c r="A43" s="19"/>
      <c r="B43" s="19"/>
      <c r="C43" s="19"/>
      <c r="D43" s="19"/>
      <c r="E43" s="19"/>
      <c r="F43" s="19"/>
      <c r="G43" s="19"/>
      <c r="H43" s="19"/>
      <c r="I43" s="19"/>
      <c r="J43" s="19"/>
      <c r="K43" s="19"/>
      <c r="L43" s="19"/>
      <c r="M43" s="19"/>
      <c r="N43" s="19"/>
      <c r="O43" s="19"/>
      <c r="P43" s="19"/>
      <c r="Q43" s="19"/>
      <c r="R43" s="19"/>
      <c r="S43" s="19"/>
    </row>
    <row r="44" spans="1:19" s="118" customFormat="1" ht="19.5" customHeight="1" thickBot="1">
      <c r="A44" s="115" t="s">
        <v>122</v>
      </c>
      <c r="B44" s="115"/>
      <c r="C44" s="115"/>
      <c r="D44" s="115"/>
      <c r="E44" s="115"/>
      <c r="F44" s="115"/>
      <c r="G44" s="115"/>
      <c r="H44" s="115"/>
      <c r="I44" s="115"/>
      <c r="J44" s="115"/>
      <c r="K44" s="115"/>
      <c r="L44" s="115"/>
      <c r="M44" s="115"/>
      <c r="N44" s="115"/>
      <c r="O44" s="115"/>
      <c r="P44" s="115"/>
      <c r="Q44" s="115"/>
      <c r="R44" s="115"/>
      <c r="S44" s="115"/>
    </row>
    <row r="45" ht="16.5" thickTop="1"/>
  </sheetData>
  <mergeCells count="1">
    <mergeCell ref="E7:N7"/>
  </mergeCells>
  <printOptions horizontalCentered="1"/>
  <pageMargins left="0.5" right="0.5" top="0.75" bottom="0.75" header="0.5" footer="0.5"/>
  <pageSetup fitToHeight="1" fitToWidth="1" horizontalDpi="600" verticalDpi="600" orientation="landscape" scale="52" r:id="rId1"/>
</worksheet>
</file>

<file path=xl/worksheets/sheet11.xml><?xml version="1.0" encoding="utf-8"?>
<worksheet xmlns="http://schemas.openxmlformats.org/spreadsheetml/2006/main" xmlns:r="http://schemas.openxmlformats.org/officeDocument/2006/relationships">
  <sheetPr>
    <pageSetUpPr fitToPage="1"/>
  </sheetPr>
  <dimension ref="A1:S56"/>
  <sheetViews>
    <sheetView zoomScale="75" zoomScaleNormal="75" workbookViewId="0" topLeftCell="E42">
      <selection activeCell="G64" sqref="G64"/>
    </sheetView>
  </sheetViews>
  <sheetFormatPr defaultColWidth="9.00390625" defaultRowHeight="15.75"/>
  <cols>
    <col min="1" max="1" width="3.125" style="0" customWidth="1"/>
    <col min="2" max="2" width="35.75390625" style="0" customWidth="1"/>
    <col min="3" max="3" width="5.375" style="0" bestFit="1" customWidth="1"/>
    <col min="4" max="4" width="12.50390625" style="0" customWidth="1"/>
    <col min="5" max="5" width="12.625" style="0" bestFit="1" customWidth="1"/>
    <col min="6" max="6" width="11.125" style="0" customWidth="1"/>
    <col min="7" max="7" width="14.25390625" style="0" customWidth="1"/>
    <col min="8" max="9" width="11.125" style="0" customWidth="1"/>
    <col min="10" max="12" width="12.25390625" style="0" bestFit="1" customWidth="1"/>
    <col min="13" max="16" width="11.125" style="0" customWidth="1"/>
    <col min="17" max="18" width="10.50390625" style="0" customWidth="1"/>
    <col min="19" max="19" width="11.625" style="0" bestFit="1" customWidth="1"/>
  </cols>
  <sheetData>
    <row r="1" spans="1:19" ht="18.75" thickTop="1">
      <c r="A1" s="113" t="s">
        <v>108</v>
      </c>
      <c r="B1" s="116"/>
      <c r="C1" s="116"/>
      <c r="D1" s="116"/>
      <c r="E1" s="116"/>
      <c r="F1" s="116"/>
      <c r="G1" s="116"/>
      <c r="H1" s="116"/>
      <c r="I1" s="116"/>
      <c r="J1" s="116"/>
      <c r="K1" s="116"/>
      <c r="L1" s="116"/>
      <c r="M1" s="116"/>
      <c r="N1" s="116"/>
      <c r="O1" s="116"/>
      <c r="P1" s="116"/>
      <c r="Q1" s="116"/>
      <c r="R1" s="116"/>
      <c r="S1" s="116"/>
    </row>
    <row r="2" spans="1:14" ht="18">
      <c r="A2" s="13" t="s">
        <v>97</v>
      </c>
      <c r="C2" s="6"/>
      <c r="D2" s="9"/>
      <c r="E2" s="6"/>
      <c r="F2" s="6"/>
      <c r="G2" s="6"/>
      <c r="H2" s="6"/>
      <c r="I2" s="6"/>
      <c r="J2" s="6"/>
      <c r="K2" s="6"/>
      <c r="L2" s="6"/>
      <c r="M2" s="6"/>
      <c r="N2" s="6"/>
    </row>
    <row r="3" spans="1:14" ht="18">
      <c r="A3" s="13" t="s">
        <v>114</v>
      </c>
      <c r="C3" s="6"/>
      <c r="D3" s="9"/>
      <c r="E3" s="6"/>
      <c r="F3" s="6"/>
      <c r="G3" s="6"/>
      <c r="H3" s="6"/>
      <c r="I3" s="6"/>
      <c r="J3" s="6"/>
      <c r="K3" s="6"/>
      <c r="L3" s="6"/>
      <c r="M3" s="6"/>
      <c r="N3" s="6"/>
    </row>
    <row r="4" spans="1:19" ht="15.75">
      <c r="A4" s="15" t="s">
        <v>115</v>
      </c>
      <c r="B4" s="15"/>
      <c r="C4" s="14">
        <v>0.03</v>
      </c>
      <c r="D4" s="15"/>
      <c r="E4" s="15"/>
      <c r="F4" s="15"/>
      <c r="G4" s="15"/>
      <c r="H4" s="15"/>
      <c r="I4" s="15"/>
      <c r="J4" s="15"/>
      <c r="K4" s="15"/>
      <c r="L4" s="15"/>
      <c r="M4" s="15"/>
      <c r="N4" s="15"/>
      <c r="O4" s="15"/>
      <c r="P4" s="15"/>
      <c r="Q4" s="15"/>
      <c r="R4" s="15"/>
      <c r="S4" s="15"/>
    </row>
    <row r="5" spans="1:19" ht="15.75">
      <c r="A5" s="15"/>
      <c r="B5" s="17"/>
      <c r="C5" s="15"/>
      <c r="D5" s="16"/>
      <c r="E5" s="15"/>
      <c r="F5" s="15"/>
      <c r="G5" s="15"/>
      <c r="H5" s="15"/>
      <c r="I5" s="15"/>
      <c r="J5" s="15"/>
      <c r="K5" s="15"/>
      <c r="L5" s="15"/>
      <c r="M5" s="15"/>
      <c r="N5" s="15"/>
      <c r="O5" s="15"/>
      <c r="P5" s="15"/>
      <c r="Q5" s="15"/>
      <c r="R5" s="15"/>
      <c r="S5" s="15"/>
    </row>
    <row r="6" spans="1:19" s="118" customFormat="1" ht="19.5" customHeight="1">
      <c r="A6" s="47"/>
      <c r="B6" s="47"/>
      <c r="C6" s="47"/>
      <c r="D6" s="77"/>
      <c r="E6" s="78" t="s">
        <v>3</v>
      </c>
      <c r="F6" s="78" t="s">
        <v>4</v>
      </c>
      <c r="G6" s="78" t="s">
        <v>5</v>
      </c>
      <c r="H6" s="78" t="s">
        <v>6</v>
      </c>
      <c r="I6" s="78" t="s">
        <v>7</v>
      </c>
      <c r="J6" s="78" t="s">
        <v>8</v>
      </c>
      <c r="K6" s="78" t="s">
        <v>9</v>
      </c>
      <c r="L6" s="78" t="s">
        <v>10</v>
      </c>
      <c r="M6" s="78" t="s">
        <v>11</v>
      </c>
      <c r="N6" s="78" t="s">
        <v>12</v>
      </c>
      <c r="O6" s="78" t="s">
        <v>13</v>
      </c>
      <c r="P6" s="78" t="s">
        <v>14</v>
      </c>
      <c r="Q6" s="78" t="s">
        <v>15</v>
      </c>
      <c r="R6" s="78" t="s">
        <v>16</v>
      </c>
      <c r="S6" s="78" t="s">
        <v>17</v>
      </c>
    </row>
    <row r="7" spans="1:19" s="118" customFormat="1" ht="19.5" customHeight="1">
      <c r="A7" s="19"/>
      <c r="B7" s="19"/>
      <c r="C7" s="19"/>
      <c r="D7" s="128"/>
      <c r="E7" s="281"/>
      <c r="F7" s="281"/>
      <c r="G7" s="281"/>
      <c r="H7" s="281"/>
      <c r="I7" s="281"/>
      <c r="J7" s="281"/>
      <c r="K7" s="281"/>
      <c r="L7" s="281"/>
      <c r="M7" s="281"/>
      <c r="N7" s="281"/>
      <c r="O7" s="19"/>
      <c r="P7" s="19"/>
      <c r="Q7" s="19"/>
      <c r="R7" s="19"/>
      <c r="S7" s="19"/>
    </row>
    <row r="8" spans="1:19" s="118" customFormat="1" ht="19.5" customHeight="1">
      <c r="A8" s="48"/>
      <c r="B8" s="64" t="s">
        <v>125</v>
      </c>
      <c r="C8" s="48"/>
      <c r="D8" s="65"/>
      <c r="E8" s="65"/>
      <c r="F8" s="65"/>
      <c r="G8" s="65"/>
      <c r="H8" s="65"/>
      <c r="I8" s="65"/>
      <c r="J8" s="65"/>
      <c r="K8" s="65"/>
      <c r="L8" s="65"/>
      <c r="M8" s="65"/>
      <c r="N8" s="65"/>
      <c r="O8" s="48"/>
      <c r="P8" s="48"/>
      <c r="Q8" s="48"/>
      <c r="R8" s="48"/>
      <c r="S8" s="48"/>
    </row>
    <row r="9" spans="1:19" s="118" customFormat="1" ht="19.5" customHeight="1">
      <c r="A9" s="19"/>
      <c r="B9" s="20" t="s">
        <v>55</v>
      </c>
      <c r="C9" s="21"/>
      <c r="D9" s="28">
        <v>0.03</v>
      </c>
      <c r="E9" s="22">
        <f>1+D9</f>
        <v>1.03</v>
      </c>
      <c r="F9" s="22">
        <f aca="true" t="shared" si="0" ref="F9:S9">E9*(1+$D$9)</f>
        <v>1.0609</v>
      </c>
      <c r="G9" s="22">
        <f t="shared" si="0"/>
        <v>1.092727</v>
      </c>
      <c r="H9" s="22">
        <f t="shared" si="0"/>
        <v>1.1255088100000001</v>
      </c>
      <c r="I9" s="22">
        <f t="shared" si="0"/>
        <v>1.1592740743</v>
      </c>
      <c r="J9" s="22">
        <f t="shared" si="0"/>
        <v>1.1940522965290001</v>
      </c>
      <c r="K9" s="22">
        <f t="shared" si="0"/>
        <v>1.2298738654248702</v>
      </c>
      <c r="L9" s="22">
        <f t="shared" si="0"/>
        <v>1.2667700813876164</v>
      </c>
      <c r="M9" s="22">
        <f t="shared" si="0"/>
        <v>1.304773183829245</v>
      </c>
      <c r="N9" s="22">
        <f t="shared" si="0"/>
        <v>1.3439163793441222</v>
      </c>
      <c r="O9" s="22">
        <f t="shared" si="0"/>
        <v>1.384233870724446</v>
      </c>
      <c r="P9" s="22">
        <f t="shared" si="0"/>
        <v>1.4257608868461793</v>
      </c>
      <c r="Q9" s="22">
        <f t="shared" si="0"/>
        <v>1.4685337134515648</v>
      </c>
      <c r="R9" s="22">
        <f t="shared" si="0"/>
        <v>1.512589724855112</v>
      </c>
      <c r="S9" s="22">
        <f t="shared" si="0"/>
        <v>1.5579674166007653</v>
      </c>
    </row>
    <row r="10" spans="1:19" s="117" customFormat="1" ht="19.5" customHeight="1">
      <c r="A10" s="19"/>
      <c r="B10" s="129" t="s">
        <v>68</v>
      </c>
      <c r="C10" s="130"/>
      <c r="D10" s="23">
        <f>+'Development Program'!C15</f>
        <v>3000</v>
      </c>
      <c r="E10" s="36">
        <f>+'Development Program'!F15</f>
        <v>0</v>
      </c>
      <c r="F10" s="36">
        <f>+'Development Program'!G15</f>
        <v>150</v>
      </c>
      <c r="G10" s="36">
        <f>+'Development Program'!H15</f>
        <v>300</v>
      </c>
      <c r="H10" s="36">
        <f>+'Development Program'!I15</f>
        <v>900</v>
      </c>
      <c r="I10" s="36">
        <f>+'Development Program'!J15</f>
        <v>1335</v>
      </c>
      <c r="J10" s="36">
        <f>+'Development Program'!K15</f>
        <v>1695</v>
      </c>
      <c r="K10" s="36">
        <f>+'Development Program'!L15</f>
        <v>2100</v>
      </c>
      <c r="L10" s="36">
        <f>+'Development Program'!M15</f>
        <v>2550</v>
      </c>
      <c r="M10" s="36">
        <f>+'Development Program'!N15</f>
        <v>3000</v>
      </c>
      <c r="N10" s="36">
        <f>+'Development Program'!O15</f>
        <v>3000</v>
      </c>
      <c r="O10" s="36">
        <f>+'Development Program'!P15</f>
        <v>3000</v>
      </c>
      <c r="P10" s="36">
        <f>+'Development Program'!Q15</f>
        <v>3000</v>
      </c>
      <c r="Q10" s="36">
        <f>+'Development Program'!R15</f>
        <v>3000</v>
      </c>
      <c r="R10" s="36">
        <f>+'Development Program'!S15</f>
        <v>3000</v>
      </c>
      <c r="S10" s="36">
        <f>+'Development Program'!T15</f>
        <v>3000</v>
      </c>
    </row>
    <row r="11" spans="1:19" s="117" customFormat="1" ht="19.5" customHeight="1">
      <c r="A11" s="19"/>
      <c r="B11" s="129" t="s">
        <v>69</v>
      </c>
      <c r="C11" s="130"/>
      <c r="D11" s="130"/>
      <c r="E11" s="19"/>
      <c r="F11" s="19"/>
      <c r="G11" s="19"/>
      <c r="H11" s="19"/>
      <c r="I11" s="19"/>
      <c r="J11" s="19"/>
      <c r="K11" s="19"/>
      <c r="L11" s="19"/>
      <c r="M11" s="19"/>
      <c r="N11" s="19"/>
      <c r="O11" s="19"/>
      <c r="P11" s="19"/>
      <c r="Q11" s="19"/>
      <c r="R11" s="19"/>
      <c r="S11" s="19"/>
    </row>
    <row r="12" spans="1:19" s="117" customFormat="1" ht="19.5" customHeight="1">
      <c r="A12" s="19"/>
      <c r="B12" s="131" t="s">
        <v>70</v>
      </c>
      <c r="C12" s="130"/>
      <c r="D12" s="88">
        <v>150</v>
      </c>
      <c r="E12" s="19"/>
      <c r="F12" s="19"/>
      <c r="G12" s="19"/>
      <c r="H12" s="19"/>
      <c r="I12" s="19"/>
      <c r="J12" s="19"/>
      <c r="K12" s="19"/>
      <c r="L12" s="19"/>
      <c r="M12" s="19"/>
      <c r="N12" s="19"/>
      <c r="O12" s="19"/>
      <c r="P12" s="19"/>
      <c r="Q12" s="19"/>
      <c r="R12" s="19"/>
      <c r="S12" s="19"/>
    </row>
    <row r="13" spans="1:19" s="117" customFormat="1" ht="19.5" customHeight="1">
      <c r="A13" s="19"/>
      <c r="B13" s="131" t="s">
        <v>71</v>
      </c>
      <c r="C13" s="130"/>
      <c r="D13" s="132">
        <v>0.35</v>
      </c>
      <c r="E13" s="36">
        <f>+E10*$D$13</f>
        <v>0</v>
      </c>
      <c r="F13" s="36">
        <f aca="true" t="shared" si="1" ref="F13:S13">+F10*$D$13</f>
        <v>52.5</v>
      </c>
      <c r="G13" s="36">
        <f t="shared" si="1"/>
        <v>105</v>
      </c>
      <c r="H13" s="36">
        <f t="shared" si="1"/>
        <v>315</v>
      </c>
      <c r="I13" s="36">
        <f t="shared" si="1"/>
        <v>467.24999999999994</v>
      </c>
      <c r="J13" s="36">
        <f t="shared" si="1"/>
        <v>593.25</v>
      </c>
      <c r="K13" s="36">
        <f t="shared" si="1"/>
        <v>735</v>
      </c>
      <c r="L13" s="36">
        <f t="shared" si="1"/>
        <v>892.5</v>
      </c>
      <c r="M13" s="36">
        <f t="shared" si="1"/>
        <v>1050</v>
      </c>
      <c r="N13" s="36">
        <f t="shared" si="1"/>
        <v>1050</v>
      </c>
      <c r="O13" s="36">
        <f t="shared" si="1"/>
        <v>1050</v>
      </c>
      <c r="P13" s="36">
        <f t="shared" si="1"/>
        <v>1050</v>
      </c>
      <c r="Q13" s="36">
        <f t="shared" si="1"/>
        <v>1050</v>
      </c>
      <c r="R13" s="36">
        <f t="shared" si="1"/>
        <v>1050</v>
      </c>
      <c r="S13" s="36">
        <f t="shared" si="1"/>
        <v>1050</v>
      </c>
    </row>
    <row r="14" spans="1:19" s="117" customFormat="1" ht="19.5" customHeight="1">
      <c r="A14" s="19"/>
      <c r="B14" s="131" t="s">
        <v>72</v>
      </c>
      <c r="C14" s="130"/>
      <c r="D14" s="132">
        <v>0.95</v>
      </c>
      <c r="E14" s="19"/>
      <c r="F14" s="19"/>
      <c r="G14" s="19"/>
      <c r="H14" s="19"/>
      <c r="I14" s="19"/>
      <c r="J14" s="19"/>
      <c r="K14" s="19"/>
      <c r="L14" s="19"/>
      <c r="M14" s="19"/>
      <c r="N14" s="19"/>
      <c r="O14" s="19"/>
      <c r="P14" s="19"/>
      <c r="Q14" s="19"/>
      <c r="R14" s="19"/>
      <c r="S14" s="19"/>
    </row>
    <row r="15" spans="1:19" s="117" customFormat="1" ht="19.5" customHeight="1">
      <c r="A15" s="19"/>
      <c r="B15" s="129" t="s">
        <v>73</v>
      </c>
      <c r="C15" s="130"/>
      <c r="D15" s="130"/>
      <c r="E15" s="19"/>
      <c r="F15" s="19"/>
      <c r="G15" s="19"/>
      <c r="H15" s="19"/>
      <c r="I15" s="19"/>
      <c r="J15" s="19"/>
      <c r="K15" s="19"/>
      <c r="L15" s="19"/>
      <c r="M15" s="19"/>
      <c r="N15" s="19"/>
      <c r="O15" s="19"/>
      <c r="P15" s="19"/>
      <c r="Q15" s="19"/>
      <c r="R15" s="19"/>
      <c r="S15" s="19"/>
    </row>
    <row r="16" spans="1:19" s="117" customFormat="1" ht="19.5" customHeight="1">
      <c r="A16" s="19"/>
      <c r="B16" s="133" t="s">
        <v>74</v>
      </c>
      <c r="C16" s="130"/>
      <c r="D16" s="134">
        <f>D10-(D10*D13)</f>
        <v>1950</v>
      </c>
      <c r="E16" s="36">
        <f aca="true" t="shared" si="2" ref="E16:S16">+E10*(1-$D13)</f>
        <v>0</v>
      </c>
      <c r="F16" s="36">
        <f t="shared" si="2"/>
        <v>97.5</v>
      </c>
      <c r="G16" s="36">
        <f t="shared" si="2"/>
        <v>195</v>
      </c>
      <c r="H16" s="36">
        <f t="shared" si="2"/>
        <v>585</v>
      </c>
      <c r="I16" s="36">
        <f t="shared" si="2"/>
        <v>867.75</v>
      </c>
      <c r="J16" s="36">
        <f t="shared" si="2"/>
        <v>1101.75</v>
      </c>
      <c r="K16" s="36">
        <f t="shared" si="2"/>
        <v>1365</v>
      </c>
      <c r="L16" s="36">
        <f t="shared" si="2"/>
        <v>1657.5</v>
      </c>
      <c r="M16" s="36">
        <f t="shared" si="2"/>
        <v>1950</v>
      </c>
      <c r="N16" s="36">
        <f t="shared" si="2"/>
        <v>1950</v>
      </c>
      <c r="O16" s="36">
        <f t="shared" si="2"/>
        <v>1950</v>
      </c>
      <c r="P16" s="36">
        <f t="shared" si="2"/>
        <v>1950</v>
      </c>
      <c r="Q16" s="36">
        <f t="shared" si="2"/>
        <v>1950</v>
      </c>
      <c r="R16" s="36">
        <f t="shared" si="2"/>
        <v>1950</v>
      </c>
      <c r="S16" s="36">
        <f t="shared" si="2"/>
        <v>1950</v>
      </c>
    </row>
    <row r="17" spans="1:19" s="117" customFormat="1" ht="19.5" customHeight="1">
      <c r="A17" s="19"/>
      <c r="B17" s="131" t="s">
        <v>75</v>
      </c>
      <c r="C17" s="19"/>
      <c r="D17" s="135">
        <f>365-D20</f>
        <v>115</v>
      </c>
      <c r="E17" s="19"/>
      <c r="F17" s="19"/>
      <c r="G17" s="19"/>
      <c r="H17" s="19"/>
      <c r="I17" s="19"/>
      <c r="J17" s="19"/>
      <c r="K17" s="19"/>
      <c r="L17" s="19"/>
      <c r="M17" s="19"/>
      <c r="N17" s="19"/>
      <c r="O17" s="19"/>
      <c r="P17" s="19"/>
      <c r="Q17" s="19"/>
      <c r="R17" s="19"/>
      <c r="S17" s="19"/>
    </row>
    <row r="18" spans="1:19" s="117" customFormat="1" ht="19.5" customHeight="1">
      <c r="A18" s="19"/>
      <c r="B18" s="136" t="s">
        <v>76</v>
      </c>
      <c r="C18" s="19"/>
      <c r="D18" s="135">
        <v>14</v>
      </c>
      <c r="E18" s="19"/>
      <c r="F18" s="19"/>
      <c r="G18" s="19"/>
      <c r="H18" s="19"/>
      <c r="I18" s="19"/>
      <c r="J18" s="19"/>
      <c r="K18" s="19"/>
      <c r="L18" s="19"/>
      <c r="M18" s="19"/>
      <c r="N18" s="19"/>
      <c r="O18" s="19"/>
      <c r="P18" s="19"/>
      <c r="Q18" s="19"/>
      <c r="R18" s="19"/>
      <c r="S18" s="19"/>
    </row>
    <row r="19" spans="1:19" s="117" customFormat="1" ht="19.5" customHeight="1">
      <c r="A19" s="19"/>
      <c r="B19" s="136" t="s">
        <v>77</v>
      </c>
      <c r="C19" s="19"/>
      <c r="D19" s="132">
        <v>0.25</v>
      </c>
      <c r="E19" s="19"/>
      <c r="F19" s="19"/>
      <c r="G19" s="19"/>
      <c r="H19" s="19"/>
      <c r="I19" s="19"/>
      <c r="J19" s="19"/>
      <c r="K19" s="19"/>
      <c r="L19" s="19"/>
      <c r="M19" s="19"/>
      <c r="N19" s="19"/>
      <c r="O19" s="19"/>
      <c r="P19" s="19"/>
      <c r="Q19" s="19"/>
      <c r="R19" s="19"/>
      <c r="S19" s="19"/>
    </row>
    <row r="20" spans="1:19" s="117" customFormat="1" ht="19.5" customHeight="1">
      <c r="A20" s="19"/>
      <c r="B20" s="131" t="s">
        <v>78</v>
      </c>
      <c r="C20" s="130"/>
      <c r="D20" s="135">
        <v>250</v>
      </c>
      <c r="E20" s="19"/>
      <c r="F20" s="19"/>
      <c r="G20" s="19"/>
      <c r="H20" s="19"/>
      <c r="I20" s="19"/>
      <c r="J20" s="19"/>
      <c r="K20" s="19"/>
      <c r="L20" s="19"/>
      <c r="M20" s="19"/>
      <c r="N20" s="19"/>
      <c r="O20" s="19"/>
      <c r="P20" s="19"/>
      <c r="Q20" s="19"/>
      <c r="R20" s="19"/>
      <c r="S20" s="19"/>
    </row>
    <row r="21" spans="1:19" s="117" customFormat="1" ht="19.5" customHeight="1">
      <c r="A21" s="19"/>
      <c r="B21" s="136" t="s">
        <v>76</v>
      </c>
      <c r="C21" s="19"/>
      <c r="D21" s="135">
        <v>10</v>
      </c>
      <c r="E21" s="19"/>
      <c r="F21" s="19"/>
      <c r="G21" s="19"/>
      <c r="H21" s="19"/>
      <c r="I21" s="19"/>
      <c r="J21" s="19"/>
      <c r="K21" s="19"/>
      <c r="L21" s="19"/>
      <c r="M21" s="19"/>
      <c r="N21" s="19"/>
      <c r="O21" s="19"/>
      <c r="P21" s="19"/>
      <c r="Q21" s="19"/>
      <c r="R21" s="19"/>
      <c r="S21" s="19"/>
    </row>
    <row r="22" spans="1:19" s="117" customFormat="1" ht="19.5" customHeight="1">
      <c r="A22" s="19"/>
      <c r="B22" s="136" t="s">
        <v>77</v>
      </c>
      <c r="C22" s="19"/>
      <c r="D22" s="132">
        <v>0.25</v>
      </c>
      <c r="E22" s="19"/>
      <c r="F22" s="19"/>
      <c r="G22" s="19"/>
      <c r="H22" s="19"/>
      <c r="I22" s="19"/>
      <c r="J22" s="19"/>
      <c r="K22" s="19"/>
      <c r="L22" s="19"/>
      <c r="M22" s="19"/>
      <c r="N22" s="19"/>
      <c r="O22" s="19"/>
      <c r="P22" s="19"/>
      <c r="Q22" s="19"/>
      <c r="R22" s="19"/>
      <c r="S22" s="19"/>
    </row>
    <row r="23" spans="1:19" s="117" customFormat="1" ht="19.5" customHeight="1">
      <c r="A23" s="19"/>
      <c r="B23" s="130" t="s">
        <v>79</v>
      </c>
      <c r="C23" s="130"/>
      <c r="D23" s="27">
        <v>2.75</v>
      </c>
      <c r="E23" s="19"/>
      <c r="F23" s="19"/>
      <c r="G23" s="19"/>
      <c r="H23" s="19"/>
      <c r="I23" s="19"/>
      <c r="J23" s="19"/>
      <c r="K23" s="19"/>
      <c r="L23" s="19"/>
      <c r="M23" s="19"/>
      <c r="N23" s="19"/>
      <c r="O23" s="19"/>
      <c r="P23" s="19"/>
      <c r="Q23" s="19"/>
      <c r="R23" s="19"/>
      <c r="S23" s="19"/>
    </row>
    <row r="24" spans="1:19" s="117" customFormat="1" ht="19.5" customHeight="1">
      <c r="A24" s="19"/>
      <c r="B24" s="129" t="s">
        <v>80</v>
      </c>
      <c r="C24" s="130"/>
      <c r="D24" s="130"/>
      <c r="E24" s="19"/>
      <c r="F24" s="19"/>
      <c r="G24" s="19"/>
      <c r="H24" s="19"/>
      <c r="I24" s="19"/>
      <c r="J24" s="19"/>
      <c r="K24" s="19"/>
      <c r="L24" s="19"/>
      <c r="M24" s="19"/>
      <c r="N24" s="19"/>
      <c r="O24" s="19"/>
      <c r="P24" s="19"/>
      <c r="Q24" s="19"/>
      <c r="R24" s="19"/>
      <c r="S24" s="19"/>
    </row>
    <row r="25" spans="1:19" s="117" customFormat="1" ht="19.5" customHeight="1">
      <c r="A25" s="53"/>
      <c r="B25" s="140" t="s">
        <v>81</v>
      </c>
      <c r="C25" s="140"/>
      <c r="D25" s="137">
        <v>0.25</v>
      </c>
      <c r="E25" s="53"/>
      <c r="F25" s="53"/>
      <c r="G25" s="53"/>
      <c r="H25" s="53"/>
      <c r="I25" s="53"/>
      <c r="J25" s="53"/>
      <c r="K25" s="53"/>
      <c r="L25" s="53"/>
      <c r="M25" s="53"/>
      <c r="N25" s="53"/>
      <c r="O25" s="53"/>
      <c r="P25" s="53"/>
      <c r="Q25" s="53"/>
      <c r="R25" s="53"/>
      <c r="S25" s="53"/>
    </row>
    <row r="26" spans="1:19" s="118" customFormat="1" ht="19.5" customHeight="1">
      <c r="A26" s="19"/>
      <c r="B26" s="19"/>
      <c r="C26" s="19"/>
      <c r="D26" s="19"/>
      <c r="E26" s="19"/>
      <c r="F26" s="19"/>
      <c r="G26" s="19"/>
      <c r="H26" s="19"/>
      <c r="I26" s="19"/>
      <c r="J26" s="19"/>
      <c r="K26" s="19"/>
      <c r="L26" s="19"/>
      <c r="M26" s="19"/>
      <c r="N26" s="19"/>
      <c r="O26" s="19"/>
      <c r="P26" s="19"/>
      <c r="Q26" s="19"/>
      <c r="R26" s="19"/>
      <c r="S26" s="19"/>
    </row>
    <row r="27" spans="1:19" s="118" customFormat="1" ht="19.5" customHeight="1">
      <c r="A27" s="48"/>
      <c r="B27" s="64" t="s">
        <v>86</v>
      </c>
      <c r="C27" s="48"/>
      <c r="D27" s="65"/>
      <c r="E27" s="65"/>
      <c r="F27" s="65"/>
      <c r="G27" s="65"/>
      <c r="H27" s="65"/>
      <c r="I27" s="65"/>
      <c r="J27" s="65"/>
      <c r="K27" s="65"/>
      <c r="L27" s="65"/>
      <c r="M27" s="65"/>
      <c r="N27" s="65"/>
      <c r="O27" s="48"/>
      <c r="P27" s="48"/>
      <c r="Q27" s="48"/>
      <c r="R27" s="48"/>
      <c r="S27" s="48"/>
    </row>
    <row r="28" spans="1:19" s="118" customFormat="1" ht="19.5" customHeight="1">
      <c r="A28" s="19"/>
      <c r="B28" s="40" t="s">
        <v>82</v>
      </c>
      <c r="C28" s="19"/>
      <c r="D28" s="19"/>
      <c r="E28" s="19"/>
      <c r="F28" s="19"/>
      <c r="G28" s="19"/>
      <c r="H28" s="19"/>
      <c r="I28" s="19"/>
      <c r="J28" s="19"/>
      <c r="K28" s="19"/>
      <c r="L28" s="19"/>
      <c r="M28" s="19"/>
      <c r="N28" s="19"/>
      <c r="O28" s="19"/>
      <c r="P28" s="19"/>
      <c r="Q28" s="19"/>
      <c r="R28" s="19"/>
      <c r="S28" s="19"/>
    </row>
    <row r="29" spans="1:19" s="118" customFormat="1" ht="19.5" customHeight="1">
      <c r="A29" s="19"/>
      <c r="B29" s="138" t="s">
        <v>83</v>
      </c>
      <c r="C29" s="19"/>
      <c r="D29" s="19"/>
      <c r="E29" s="39">
        <f>+E10*$D13*$D14*$D12*12*E9/1000</f>
        <v>0</v>
      </c>
      <c r="F29" s="39">
        <f aca="true" t="shared" si="3" ref="F29:S29">+F10*$D13*$D14*$D12*12*F9/1000</f>
        <v>95.2422975</v>
      </c>
      <c r="G29" s="39">
        <f t="shared" si="3"/>
        <v>196.19913284999998</v>
      </c>
      <c r="H29" s="39">
        <f t="shared" si="3"/>
        <v>606.2553205065001</v>
      </c>
      <c r="I29" s="39">
        <f t="shared" si="3"/>
        <v>926.257087180514</v>
      </c>
      <c r="J29" s="39">
        <f t="shared" si="3"/>
        <v>1211.3153076060682</v>
      </c>
      <c r="K29" s="39">
        <f t="shared" si="3"/>
        <v>1545.766967759248</v>
      </c>
      <c r="L29" s="39">
        <f t="shared" si="3"/>
        <v>1933.3128289617455</v>
      </c>
      <c r="M29" s="39">
        <f t="shared" si="3"/>
        <v>2342.7202515654094</v>
      </c>
      <c r="N29" s="39">
        <f t="shared" si="3"/>
        <v>2413.001859112371</v>
      </c>
      <c r="O29" s="39">
        <f t="shared" si="3"/>
        <v>2485.3919148857426</v>
      </c>
      <c r="P29" s="39">
        <f t="shared" si="3"/>
        <v>2559.953672332315</v>
      </c>
      <c r="Q29" s="39">
        <f t="shared" si="3"/>
        <v>2636.7522825022847</v>
      </c>
      <c r="R29" s="39">
        <f t="shared" si="3"/>
        <v>2715.854850977353</v>
      </c>
      <c r="S29" s="39">
        <f t="shared" si="3"/>
        <v>2797.330496506674</v>
      </c>
    </row>
    <row r="30" spans="1:19" s="118" customFormat="1" ht="17.25">
      <c r="A30" s="19"/>
      <c r="B30" s="138" t="s">
        <v>84</v>
      </c>
      <c r="C30" s="19"/>
      <c r="D30" s="19"/>
      <c r="E30" s="75">
        <f>(((E$16*$D$17*$D$18*$D$19*$D$23)+(E$16*$D$20*$D$21*$D$22*$D$23))*E9)/1000</f>
        <v>0</v>
      </c>
      <c r="F30" s="75">
        <f aca="true" t="shared" si="4" ref="F30:S30">(((F$16*$D$17*$D$18*$D$19*$D$23)+(F$16*$D$20*$D$21*$D$22*$D$23))*F9)/1000</f>
        <v>292.27629234375</v>
      </c>
      <c r="G30" s="75">
        <f t="shared" si="4"/>
        <v>602.089162228125</v>
      </c>
      <c r="H30" s="75">
        <f t="shared" si="4"/>
        <v>1860.4555112849064</v>
      </c>
      <c r="I30" s="75">
        <f t="shared" si="4"/>
        <v>2842.465945324789</v>
      </c>
      <c r="J30" s="75">
        <f t="shared" si="4"/>
        <v>3717.242824453396</v>
      </c>
      <c r="K30" s="75">
        <f t="shared" si="4"/>
        <v>4743.596595452918</v>
      </c>
      <c r="L30" s="75">
        <f t="shared" si="4"/>
        <v>5932.884027598615</v>
      </c>
      <c r="M30" s="75">
        <f t="shared" si="4"/>
        <v>7189.259468737145</v>
      </c>
      <c r="N30" s="75">
        <f t="shared" si="4"/>
        <v>7404.937252799258</v>
      </c>
      <c r="O30" s="75">
        <f t="shared" si="4"/>
        <v>7627.085370383236</v>
      </c>
      <c r="P30" s="75">
        <f t="shared" si="4"/>
        <v>7855.897931494735</v>
      </c>
      <c r="Q30" s="75">
        <f t="shared" si="4"/>
        <v>8091.574869439577</v>
      </c>
      <c r="R30" s="75">
        <f t="shared" si="4"/>
        <v>8334.322115522764</v>
      </c>
      <c r="S30" s="75">
        <f t="shared" si="4"/>
        <v>8584.351778988448</v>
      </c>
    </row>
    <row r="31" spans="1:19" s="118" customFormat="1" ht="19.5" customHeight="1">
      <c r="A31" s="19"/>
      <c r="B31" s="40" t="s">
        <v>85</v>
      </c>
      <c r="C31" s="19"/>
      <c r="D31" s="19"/>
      <c r="E31" s="39">
        <f aca="true" t="shared" si="5" ref="E31:S31">SUM(E29:E30)</f>
        <v>0</v>
      </c>
      <c r="F31" s="39">
        <f t="shared" si="5"/>
        <v>387.51858984375</v>
      </c>
      <c r="G31" s="39">
        <f t="shared" si="5"/>
        <v>798.288295078125</v>
      </c>
      <c r="H31" s="39">
        <f t="shared" si="5"/>
        <v>2466.7108317914062</v>
      </c>
      <c r="I31" s="39">
        <f t="shared" si="5"/>
        <v>3768.7230325053033</v>
      </c>
      <c r="J31" s="39">
        <f t="shared" si="5"/>
        <v>4928.558132059465</v>
      </c>
      <c r="K31" s="39">
        <f t="shared" si="5"/>
        <v>6289.363563212166</v>
      </c>
      <c r="L31" s="39">
        <f t="shared" si="5"/>
        <v>7866.19685656036</v>
      </c>
      <c r="M31" s="39">
        <f t="shared" si="5"/>
        <v>9531.979720302554</v>
      </c>
      <c r="N31" s="39">
        <f t="shared" si="5"/>
        <v>9817.93911191163</v>
      </c>
      <c r="O31" s="39">
        <f t="shared" si="5"/>
        <v>10112.477285268978</v>
      </c>
      <c r="P31" s="39">
        <f t="shared" si="5"/>
        <v>10415.85160382705</v>
      </c>
      <c r="Q31" s="39">
        <f t="shared" si="5"/>
        <v>10728.327151941861</v>
      </c>
      <c r="R31" s="39">
        <f t="shared" si="5"/>
        <v>11050.176966500117</v>
      </c>
      <c r="S31" s="39">
        <f t="shared" si="5"/>
        <v>11381.682275495123</v>
      </c>
    </row>
    <row r="32" spans="1:19" s="118" customFormat="1" ht="19.5" customHeight="1">
      <c r="A32" s="19"/>
      <c r="B32" s="40" t="s">
        <v>80</v>
      </c>
      <c r="C32" s="19"/>
      <c r="D32" s="19"/>
      <c r="E32" s="39">
        <f aca="true" t="shared" si="6" ref="E32:S32">$D$25*E31</f>
        <v>0</v>
      </c>
      <c r="F32" s="39">
        <f t="shared" si="6"/>
        <v>96.8796474609375</v>
      </c>
      <c r="G32" s="39">
        <f t="shared" si="6"/>
        <v>199.57207376953124</v>
      </c>
      <c r="H32" s="39">
        <f t="shared" si="6"/>
        <v>616.6777079478516</v>
      </c>
      <c r="I32" s="39">
        <f t="shared" si="6"/>
        <v>942.1807581263258</v>
      </c>
      <c r="J32" s="39">
        <f t="shared" si="6"/>
        <v>1232.1395330148662</v>
      </c>
      <c r="K32" s="39">
        <f t="shared" si="6"/>
        <v>1572.3408908030415</v>
      </c>
      <c r="L32" s="39">
        <f t="shared" si="6"/>
        <v>1966.54921414009</v>
      </c>
      <c r="M32" s="39">
        <f t="shared" si="6"/>
        <v>2382.9949300756384</v>
      </c>
      <c r="N32" s="39">
        <f t="shared" si="6"/>
        <v>2454.4847779779075</v>
      </c>
      <c r="O32" s="39">
        <f t="shared" si="6"/>
        <v>2528.1193213172446</v>
      </c>
      <c r="P32" s="39">
        <f t="shared" si="6"/>
        <v>2603.9629009567625</v>
      </c>
      <c r="Q32" s="39">
        <f t="shared" si="6"/>
        <v>2682.0817879854653</v>
      </c>
      <c r="R32" s="39">
        <f t="shared" si="6"/>
        <v>2762.5442416250294</v>
      </c>
      <c r="S32" s="39">
        <f t="shared" si="6"/>
        <v>2845.4205688737807</v>
      </c>
    </row>
    <row r="33" spans="1:19" s="119" customFormat="1" ht="19.5" customHeight="1">
      <c r="A33" s="54"/>
      <c r="B33" s="54" t="s">
        <v>86</v>
      </c>
      <c r="C33" s="54"/>
      <c r="D33" s="54"/>
      <c r="E33" s="139">
        <f aca="true" t="shared" si="7" ref="E33:S33">E31-E32</f>
        <v>0</v>
      </c>
      <c r="F33" s="55">
        <f t="shared" si="7"/>
        <v>290.6389423828125</v>
      </c>
      <c r="G33" s="139">
        <f t="shared" si="7"/>
        <v>598.7162213085937</v>
      </c>
      <c r="H33" s="139">
        <f t="shared" si="7"/>
        <v>1850.0331238435547</v>
      </c>
      <c r="I33" s="139">
        <f t="shared" si="7"/>
        <v>2826.5422743789777</v>
      </c>
      <c r="J33" s="139">
        <f t="shared" si="7"/>
        <v>3696.4185990445985</v>
      </c>
      <c r="K33" s="139">
        <f t="shared" si="7"/>
        <v>4717.022672409124</v>
      </c>
      <c r="L33" s="139">
        <f t="shared" si="7"/>
        <v>5899.64764242027</v>
      </c>
      <c r="M33" s="139">
        <f t="shared" si="7"/>
        <v>7148.984790226916</v>
      </c>
      <c r="N33" s="139">
        <f t="shared" si="7"/>
        <v>7363.454333933722</v>
      </c>
      <c r="O33" s="139">
        <f t="shared" si="7"/>
        <v>7584.357963951734</v>
      </c>
      <c r="P33" s="139">
        <f t="shared" si="7"/>
        <v>7811.8887028702875</v>
      </c>
      <c r="Q33" s="139">
        <f t="shared" si="7"/>
        <v>8046.2453639563955</v>
      </c>
      <c r="R33" s="139">
        <f t="shared" si="7"/>
        <v>8287.632724875088</v>
      </c>
      <c r="S33" s="139">
        <f t="shared" si="7"/>
        <v>8536.261706621342</v>
      </c>
    </row>
    <row r="34" spans="1:19" s="118" customFormat="1" ht="19.5" customHeight="1">
      <c r="A34" s="19"/>
      <c r="B34" s="19"/>
      <c r="C34" s="19"/>
      <c r="D34" s="19"/>
      <c r="E34" s="19"/>
      <c r="F34" s="19"/>
      <c r="G34" s="19"/>
      <c r="H34" s="19"/>
      <c r="I34" s="19"/>
      <c r="J34" s="19"/>
      <c r="K34" s="19"/>
      <c r="L34" s="19"/>
      <c r="M34" s="19"/>
      <c r="N34" s="19"/>
      <c r="O34" s="19"/>
      <c r="P34" s="19"/>
      <c r="Q34" s="19"/>
      <c r="R34" s="19"/>
      <c r="S34" s="19"/>
    </row>
    <row r="35" spans="1:19" s="118" customFormat="1" ht="19.5" customHeight="1">
      <c r="A35" s="19"/>
      <c r="B35" s="19"/>
      <c r="C35" s="19"/>
      <c r="D35" s="19"/>
      <c r="E35" s="19"/>
      <c r="F35" s="19"/>
      <c r="G35" s="19"/>
      <c r="H35" s="19"/>
      <c r="I35" s="19"/>
      <c r="J35" s="19"/>
      <c r="K35" s="19"/>
      <c r="L35" s="19"/>
      <c r="M35" s="19"/>
      <c r="N35" s="19"/>
      <c r="O35" s="19"/>
      <c r="P35" s="19"/>
      <c r="Q35" s="19"/>
      <c r="R35" s="19"/>
      <c r="S35" s="19"/>
    </row>
    <row r="36" spans="1:19" s="118" customFormat="1" ht="19.5" customHeight="1">
      <c r="A36" s="48"/>
      <c r="B36" s="68" t="s">
        <v>88</v>
      </c>
      <c r="C36" s="48"/>
      <c r="D36" s="48"/>
      <c r="E36" s="48"/>
      <c r="F36" s="48"/>
      <c r="G36" s="48"/>
      <c r="H36" s="48"/>
      <c r="I36" s="48"/>
      <c r="J36" s="48"/>
      <c r="K36" s="48"/>
      <c r="L36" s="48"/>
      <c r="M36" s="48"/>
      <c r="N36" s="48"/>
      <c r="O36" s="48"/>
      <c r="P36" s="48"/>
      <c r="Q36" s="48"/>
      <c r="R36" s="48"/>
      <c r="S36" s="48"/>
    </row>
    <row r="37" spans="1:19" s="118" customFormat="1" ht="19.5" customHeight="1">
      <c r="A37" s="19"/>
      <c r="B37" s="19" t="s">
        <v>89</v>
      </c>
      <c r="C37" s="19"/>
      <c r="D37" s="19"/>
      <c r="E37" s="42">
        <f>+F38-E38</f>
        <v>0.05</v>
      </c>
      <c r="F37" s="42">
        <f aca="true" t="shared" si="8" ref="F37:R37">+G38-F38</f>
        <v>0.05</v>
      </c>
      <c r="G37" s="42">
        <f t="shared" si="8"/>
        <v>0.19999999999999998</v>
      </c>
      <c r="H37" s="42">
        <f t="shared" si="8"/>
        <v>0.14500000000000002</v>
      </c>
      <c r="I37" s="42">
        <f t="shared" si="8"/>
        <v>0.11999999999999994</v>
      </c>
      <c r="J37" s="42">
        <f t="shared" si="8"/>
        <v>0.135</v>
      </c>
      <c r="K37" s="42">
        <f t="shared" si="8"/>
        <v>0.15000000000000002</v>
      </c>
      <c r="L37" s="42">
        <f t="shared" si="8"/>
        <v>0.15000000000000002</v>
      </c>
      <c r="M37" s="42">
        <f t="shared" si="8"/>
        <v>0</v>
      </c>
      <c r="N37" s="42">
        <f t="shared" si="8"/>
        <v>0</v>
      </c>
      <c r="O37" s="42">
        <f t="shared" si="8"/>
        <v>0</v>
      </c>
      <c r="P37" s="42">
        <f t="shared" si="8"/>
        <v>0</v>
      </c>
      <c r="Q37" s="42">
        <f t="shared" si="8"/>
        <v>0</v>
      </c>
      <c r="R37" s="42">
        <f t="shared" si="8"/>
        <v>0</v>
      </c>
      <c r="S37" s="42">
        <v>0</v>
      </c>
    </row>
    <row r="38" spans="1:19" s="118" customFormat="1" ht="19.5" customHeight="1" hidden="1">
      <c r="A38" s="19"/>
      <c r="B38" s="19" t="s">
        <v>89</v>
      </c>
      <c r="C38" s="19"/>
      <c r="D38" s="19"/>
      <c r="E38" s="42">
        <f aca="true" t="shared" si="9" ref="E38:S38">+E10/$D$10</f>
        <v>0</v>
      </c>
      <c r="F38" s="42">
        <f t="shared" si="9"/>
        <v>0.05</v>
      </c>
      <c r="G38" s="42">
        <f t="shared" si="9"/>
        <v>0.1</v>
      </c>
      <c r="H38" s="42">
        <f t="shared" si="9"/>
        <v>0.3</v>
      </c>
      <c r="I38" s="42">
        <f t="shared" si="9"/>
        <v>0.445</v>
      </c>
      <c r="J38" s="42">
        <f t="shared" si="9"/>
        <v>0.565</v>
      </c>
      <c r="K38" s="42">
        <f t="shared" si="9"/>
        <v>0.7</v>
      </c>
      <c r="L38" s="42">
        <f t="shared" si="9"/>
        <v>0.85</v>
      </c>
      <c r="M38" s="42">
        <f t="shared" si="9"/>
        <v>1</v>
      </c>
      <c r="N38" s="42">
        <f t="shared" si="9"/>
        <v>1</v>
      </c>
      <c r="O38" s="42">
        <f t="shared" si="9"/>
        <v>1</v>
      </c>
      <c r="P38" s="42">
        <f t="shared" si="9"/>
        <v>1</v>
      </c>
      <c r="Q38" s="42">
        <f t="shared" si="9"/>
        <v>1</v>
      </c>
      <c r="R38" s="42">
        <f t="shared" si="9"/>
        <v>1</v>
      </c>
      <c r="S38" s="42">
        <f t="shared" si="9"/>
        <v>1</v>
      </c>
    </row>
    <row r="39" spans="1:19" s="118" customFormat="1" ht="19.5" customHeight="1">
      <c r="A39" s="19"/>
      <c r="B39" s="19" t="s">
        <v>88</v>
      </c>
      <c r="C39" s="19"/>
      <c r="D39" s="88">
        <f>+'Development Costs'!I18*'Structured Parking'!D10/1000</f>
        <v>52800</v>
      </c>
      <c r="E39" s="39">
        <f>+E37*$D$39*E9</f>
        <v>2719.2000000000003</v>
      </c>
      <c r="F39" s="39">
        <f aca="true" t="shared" si="10" ref="F39:S39">+F37*$D$39*F9</f>
        <v>2800.776</v>
      </c>
      <c r="G39" s="39">
        <f t="shared" si="10"/>
        <v>11539.19712</v>
      </c>
      <c r="H39" s="39">
        <f t="shared" si="10"/>
        <v>8616.895449360001</v>
      </c>
      <c r="I39" s="39">
        <f t="shared" si="10"/>
        <v>7345.160534764797</v>
      </c>
      <c r="J39" s="39">
        <f t="shared" si="10"/>
        <v>8511.204769658714</v>
      </c>
      <c r="K39" s="39">
        <f t="shared" si="10"/>
        <v>9740.601014164973</v>
      </c>
      <c r="L39" s="39">
        <f t="shared" si="10"/>
        <v>10032.819044589924</v>
      </c>
      <c r="M39" s="39">
        <f t="shared" si="10"/>
        <v>0</v>
      </c>
      <c r="N39" s="39">
        <f t="shared" si="10"/>
        <v>0</v>
      </c>
      <c r="O39" s="39">
        <f t="shared" si="10"/>
        <v>0</v>
      </c>
      <c r="P39" s="39">
        <f t="shared" si="10"/>
        <v>0</v>
      </c>
      <c r="Q39" s="39">
        <f t="shared" si="10"/>
        <v>0</v>
      </c>
      <c r="R39" s="39">
        <f t="shared" si="10"/>
        <v>0</v>
      </c>
      <c r="S39" s="39">
        <f t="shared" si="10"/>
        <v>0</v>
      </c>
    </row>
    <row r="40" spans="1:19" s="118" customFormat="1" ht="19.5" customHeight="1">
      <c r="A40" s="19"/>
      <c r="B40" s="19" t="s">
        <v>139</v>
      </c>
      <c r="C40" s="19"/>
      <c r="D40" s="269"/>
      <c r="E40" s="39">
        <f>+'Infrastructure Costs'!E17</f>
        <v>3066.248802559415</v>
      </c>
      <c r="F40" s="39">
        <f>+'Infrastructure Costs'!F17</f>
        <v>0</v>
      </c>
      <c r="G40" s="39">
        <f>+'Infrastructure Costs'!G17</f>
        <v>0</v>
      </c>
      <c r="H40" s="39">
        <f>+'Infrastructure Costs'!H17</f>
        <v>0</v>
      </c>
      <c r="I40" s="39">
        <f>+'Infrastructure Costs'!I17</f>
        <v>0</v>
      </c>
      <c r="J40" s="39">
        <f>+'Infrastructure Costs'!J17</f>
        <v>2736.7449430793613</v>
      </c>
      <c r="K40" s="39">
        <f>+'Infrastructure Costs'!K17</f>
        <v>0</v>
      </c>
      <c r="L40" s="39">
        <f>+'Infrastructure Costs'!L17</f>
        <v>0</v>
      </c>
      <c r="M40" s="39">
        <f>+'Infrastructure Costs'!M17</f>
        <v>0</v>
      </c>
      <c r="N40" s="39">
        <f>+'Infrastructure Costs'!N17</f>
        <v>0</v>
      </c>
      <c r="O40" s="39">
        <f>+'Infrastructure Costs'!O17</f>
        <v>0</v>
      </c>
      <c r="P40" s="39">
        <f>+'Infrastructure Costs'!P17</f>
        <v>0</v>
      </c>
      <c r="Q40" s="39">
        <f>+'Infrastructure Costs'!Q17</f>
        <v>0</v>
      </c>
      <c r="R40" s="39">
        <f>+'Infrastructure Costs'!R17</f>
        <v>0</v>
      </c>
      <c r="S40" s="39">
        <f>+'Infrastructure Costs'!S17</f>
        <v>0</v>
      </c>
    </row>
    <row r="41" spans="1:19" s="119" customFormat="1" ht="19.5" customHeight="1">
      <c r="A41" s="54"/>
      <c r="B41" s="54" t="s">
        <v>96</v>
      </c>
      <c r="C41" s="54"/>
      <c r="D41" s="54"/>
      <c r="E41" s="103">
        <f>+E40+E39</f>
        <v>5785.448802559415</v>
      </c>
      <c r="F41" s="103">
        <f aca="true" t="shared" si="11" ref="F41:S41">+F40+F39</f>
        <v>2800.776</v>
      </c>
      <c r="G41" s="103">
        <f t="shared" si="11"/>
        <v>11539.19712</v>
      </c>
      <c r="H41" s="103">
        <f t="shared" si="11"/>
        <v>8616.895449360001</v>
      </c>
      <c r="I41" s="103">
        <f t="shared" si="11"/>
        <v>7345.160534764797</v>
      </c>
      <c r="J41" s="103">
        <f t="shared" si="11"/>
        <v>11247.949712738075</v>
      </c>
      <c r="K41" s="103">
        <f t="shared" si="11"/>
        <v>9740.601014164973</v>
      </c>
      <c r="L41" s="103">
        <f t="shared" si="11"/>
        <v>10032.819044589924</v>
      </c>
      <c r="M41" s="103">
        <f t="shared" si="11"/>
        <v>0</v>
      </c>
      <c r="N41" s="103">
        <f t="shared" si="11"/>
        <v>0</v>
      </c>
      <c r="O41" s="103">
        <f t="shared" si="11"/>
        <v>0</v>
      </c>
      <c r="P41" s="103">
        <f t="shared" si="11"/>
        <v>0</v>
      </c>
      <c r="Q41" s="103">
        <f t="shared" si="11"/>
        <v>0</v>
      </c>
      <c r="R41" s="103">
        <f t="shared" si="11"/>
        <v>0</v>
      </c>
      <c r="S41" s="103">
        <f t="shared" si="11"/>
        <v>0</v>
      </c>
    </row>
    <row r="42" spans="1:19" s="118" customFormat="1" ht="19.5" customHeight="1">
      <c r="A42" s="19"/>
      <c r="B42" s="19"/>
      <c r="C42" s="19"/>
      <c r="D42" s="19"/>
      <c r="E42" s="19"/>
      <c r="F42" s="19"/>
      <c r="G42" s="19"/>
      <c r="H42" s="19"/>
      <c r="I42" s="19"/>
      <c r="J42" s="19"/>
      <c r="K42" s="19"/>
      <c r="L42" s="19"/>
      <c r="M42" s="19"/>
      <c r="N42" s="19"/>
      <c r="O42" s="19"/>
      <c r="P42" s="19"/>
      <c r="Q42" s="19"/>
      <c r="R42" s="19"/>
      <c r="S42" s="19"/>
    </row>
    <row r="43" spans="1:19" s="118" customFormat="1" ht="19.5" customHeight="1">
      <c r="A43" s="19"/>
      <c r="B43" s="19"/>
      <c r="C43" s="19"/>
      <c r="D43" s="19"/>
      <c r="E43" s="19"/>
      <c r="F43" s="19"/>
      <c r="G43" s="19"/>
      <c r="H43" s="19"/>
      <c r="I43" s="19"/>
      <c r="J43" s="19"/>
      <c r="K43" s="19"/>
      <c r="L43" s="19"/>
      <c r="M43" s="19"/>
      <c r="N43" s="19"/>
      <c r="O43" s="19"/>
      <c r="P43" s="19"/>
      <c r="Q43" s="19"/>
      <c r="R43" s="19"/>
      <c r="S43" s="19"/>
    </row>
    <row r="44" spans="1:19" s="118" customFormat="1" ht="19.5" customHeight="1">
      <c r="A44" s="48"/>
      <c r="B44" s="68" t="s">
        <v>118</v>
      </c>
      <c r="C44" s="48"/>
      <c r="D44" s="48"/>
      <c r="E44" s="48"/>
      <c r="F44" s="48"/>
      <c r="G44" s="48"/>
      <c r="H44" s="48"/>
      <c r="I44" s="48"/>
      <c r="J44" s="48"/>
      <c r="K44" s="48"/>
      <c r="L44" s="48"/>
      <c r="M44" s="48"/>
      <c r="N44" s="48"/>
      <c r="O44" s="48"/>
      <c r="P44" s="48"/>
      <c r="Q44" s="48"/>
      <c r="R44" s="48"/>
      <c r="S44" s="48"/>
    </row>
    <row r="45" spans="1:19" s="118" customFormat="1" ht="19.5" customHeight="1">
      <c r="A45" s="19"/>
      <c r="B45" s="19" t="str">
        <f>+B33</f>
        <v>Net Operating Income</v>
      </c>
      <c r="C45" s="19"/>
      <c r="D45" s="19"/>
      <c r="E45" s="104">
        <f>+E33</f>
        <v>0</v>
      </c>
      <c r="F45" s="104">
        <f aca="true" t="shared" si="12" ref="F45:S45">+F33</f>
        <v>290.6389423828125</v>
      </c>
      <c r="G45" s="104">
        <f t="shared" si="12"/>
        <v>598.7162213085937</v>
      </c>
      <c r="H45" s="104">
        <f t="shared" si="12"/>
        <v>1850.0331238435547</v>
      </c>
      <c r="I45" s="104">
        <f t="shared" si="12"/>
        <v>2826.5422743789777</v>
      </c>
      <c r="J45" s="104">
        <f t="shared" si="12"/>
        <v>3696.4185990445985</v>
      </c>
      <c r="K45" s="104">
        <f t="shared" si="12"/>
        <v>4717.022672409124</v>
      </c>
      <c r="L45" s="104">
        <f t="shared" si="12"/>
        <v>5899.64764242027</v>
      </c>
      <c r="M45" s="104">
        <f t="shared" si="12"/>
        <v>7148.984790226916</v>
      </c>
      <c r="N45" s="104">
        <f t="shared" si="12"/>
        <v>7363.454333933722</v>
      </c>
      <c r="O45" s="104">
        <f t="shared" si="12"/>
        <v>7584.357963951734</v>
      </c>
      <c r="P45" s="104">
        <f t="shared" si="12"/>
        <v>7811.8887028702875</v>
      </c>
      <c r="Q45" s="104">
        <f t="shared" si="12"/>
        <v>8046.2453639563955</v>
      </c>
      <c r="R45" s="104">
        <f t="shared" si="12"/>
        <v>8287.632724875088</v>
      </c>
      <c r="S45" s="104">
        <f t="shared" si="12"/>
        <v>8536.261706621342</v>
      </c>
    </row>
    <row r="46" spans="1:19" s="118" customFormat="1" ht="19.5" customHeight="1">
      <c r="A46" s="19"/>
      <c r="B46" s="19" t="s">
        <v>127</v>
      </c>
      <c r="C46" s="43">
        <v>0.1</v>
      </c>
      <c r="D46" s="19"/>
      <c r="E46" s="104"/>
      <c r="F46" s="104"/>
      <c r="G46" s="104"/>
      <c r="H46" s="104"/>
      <c r="I46" s="104"/>
      <c r="J46" s="104"/>
      <c r="K46" s="104"/>
      <c r="L46" s="104"/>
      <c r="M46" s="104"/>
      <c r="N46" s="104"/>
      <c r="O46" s="104"/>
      <c r="P46" s="104"/>
      <c r="Q46" s="104"/>
      <c r="R46" s="104"/>
      <c r="S46" s="104">
        <f>+S45/C46</f>
        <v>85362.61706621342</v>
      </c>
    </row>
    <row r="47" spans="1:19" s="118" customFormat="1" ht="19.5" customHeight="1">
      <c r="A47" s="19"/>
      <c r="B47" s="19" t="s">
        <v>119</v>
      </c>
      <c r="C47" s="43">
        <v>0.05</v>
      </c>
      <c r="D47" s="19"/>
      <c r="E47" s="104"/>
      <c r="F47" s="104"/>
      <c r="G47" s="104"/>
      <c r="H47" s="104"/>
      <c r="I47" s="104"/>
      <c r="J47" s="104"/>
      <c r="K47" s="104"/>
      <c r="L47" s="104"/>
      <c r="M47" s="104"/>
      <c r="N47" s="104"/>
      <c r="O47" s="104"/>
      <c r="P47" s="104"/>
      <c r="Q47" s="104"/>
      <c r="R47" s="104"/>
      <c r="S47" s="104">
        <f>-S46*C47</f>
        <v>-4268.130853310671</v>
      </c>
    </row>
    <row r="48" spans="1:19" s="118" customFormat="1" ht="19.5" customHeight="1">
      <c r="A48" s="19"/>
      <c r="B48" s="19" t="str">
        <f>+B41</f>
        <v>Total Development Costs</v>
      </c>
      <c r="C48" s="19"/>
      <c r="D48" s="19"/>
      <c r="E48" s="105">
        <f>-E41</f>
        <v>-5785.448802559415</v>
      </c>
      <c r="F48" s="105">
        <f aca="true" t="shared" si="13" ref="F48:S48">-F41</f>
        <v>-2800.776</v>
      </c>
      <c r="G48" s="105">
        <f t="shared" si="13"/>
        <v>-11539.19712</v>
      </c>
      <c r="H48" s="105">
        <f t="shared" si="13"/>
        <v>-8616.895449360001</v>
      </c>
      <c r="I48" s="105">
        <f t="shared" si="13"/>
        <v>-7345.160534764797</v>
      </c>
      <c r="J48" s="105">
        <f t="shared" si="13"/>
        <v>-11247.949712738075</v>
      </c>
      <c r="K48" s="105">
        <f t="shared" si="13"/>
        <v>-9740.601014164973</v>
      </c>
      <c r="L48" s="105">
        <f t="shared" si="13"/>
        <v>-10032.819044589924</v>
      </c>
      <c r="M48" s="105">
        <f t="shared" si="13"/>
        <v>0</v>
      </c>
      <c r="N48" s="105">
        <f t="shared" si="13"/>
        <v>0</v>
      </c>
      <c r="O48" s="105">
        <f t="shared" si="13"/>
        <v>0</v>
      </c>
      <c r="P48" s="105">
        <f t="shared" si="13"/>
        <v>0</v>
      </c>
      <c r="Q48" s="105">
        <f t="shared" si="13"/>
        <v>0</v>
      </c>
      <c r="R48" s="105">
        <f t="shared" si="13"/>
        <v>0</v>
      </c>
      <c r="S48" s="105">
        <f t="shared" si="13"/>
        <v>0</v>
      </c>
    </row>
    <row r="49" spans="1:19" s="118" customFormat="1" ht="19.5" customHeight="1">
      <c r="A49" s="53"/>
      <c r="B49" s="53" t="s">
        <v>90</v>
      </c>
      <c r="C49" s="53"/>
      <c r="D49" s="59"/>
      <c r="E49" s="111">
        <f>SUM(E45:E48)</f>
        <v>-5785.448802559415</v>
      </c>
      <c r="F49" s="111">
        <f aca="true" t="shared" si="14" ref="F49:S49">SUM(F45:F48)</f>
        <v>-2510.1370576171876</v>
      </c>
      <c r="G49" s="111">
        <f t="shared" si="14"/>
        <v>-10940.480898691407</v>
      </c>
      <c r="H49" s="111">
        <f t="shared" si="14"/>
        <v>-6766.862325516447</v>
      </c>
      <c r="I49" s="111">
        <f t="shared" si="14"/>
        <v>-4518.61826038582</v>
      </c>
      <c r="J49" s="111">
        <f t="shared" si="14"/>
        <v>-7551.531113693476</v>
      </c>
      <c r="K49" s="111">
        <f t="shared" si="14"/>
        <v>-5023.578341755849</v>
      </c>
      <c r="L49" s="111">
        <f t="shared" si="14"/>
        <v>-4133.171402169653</v>
      </c>
      <c r="M49" s="111">
        <f t="shared" si="14"/>
        <v>7148.984790226916</v>
      </c>
      <c r="N49" s="111">
        <f t="shared" si="14"/>
        <v>7363.454333933722</v>
      </c>
      <c r="O49" s="111">
        <f t="shared" si="14"/>
        <v>7584.357963951734</v>
      </c>
      <c r="P49" s="111">
        <f t="shared" si="14"/>
        <v>7811.8887028702875</v>
      </c>
      <c r="Q49" s="111">
        <f t="shared" si="14"/>
        <v>8046.2453639563955</v>
      </c>
      <c r="R49" s="111">
        <f t="shared" si="14"/>
        <v>8287.632724875088</v>
      </c>
      <c r="S49" s="111">
        <f t="shared" si="14"/>
        <v>89630.74791952409</v>
      </c>
    </row>
    <row r="50" spans="1:19" s="118" customFormat="1" ht="19.5" customHeight="1">
      <c r="A50" s="19"/>
      <c r="B50" s="19"/>
      <c r="C50" s="19"/>
      <c r="D50" s="19"/>
      <c r="E50" s="19"/>
      <c r="F50" s="19"/>
      <c r="G50" s="19"/>
      <c r="H50" s="19"/>
      <c r="I50" s="19"/>
      <c r="J50" s="19"/>
      <c r="K50" s="19"/>
      <c r="L50" s="19"/>
      <c r="M50" s="19"/>
      <c r="N50" s="19"/>
      <c r="O50" s="19"/>
      <c r="P50" s="19"/>
      <c r="Q50" s="19"/>
      <c r="R50" s="19"/>
      <c r="S50" s="19"/>
    </row>
    <row r="51" spans="1:19" s="118" customFormat="1" ht="19.5" customHeight="1">
      <c r="A51" s="47"/>
      <c r="B51" s="60" t="s">
        <v>121</v>
      </c>
      <c r="C51" s="107">
        <v>0.1</v>
      </c>
      <c r="D51" s="108">
        <f>NPV(C51,E49:S49)</f>
        <v>5238.179895770854</v>
      </c>
      <c r="E51" s="57"/>
      <c r="F51" s="57"/>
      <c r="G51" s="60" t="s">
        <v>91</v>
      </c>
      <c r="H51" s="109">
        <f>IRR(E49:S49,-0.2)</f>
        <v>0.11784146222305808</v>
      </c>
      <c r="I51" s="47"/>
      <c r="J51" s="57"/>
      <c r="K51" s="57"/>
      <c r="L51" s="57"/>
      <c r="M51" s="57"/>
      <c r="N51" s="57"/>
      <c r="O51" s="57"/>
      <c r="P51" s="57"/>
      <c r="Q51" s="57"/>
      <c r="R51" s="57"/>
      <c r="S51" s="57"/>
    </row>
    <row r="52" spans="1:19" s="118" customFormat="1" ht="19.5" customHeight="1">
      <c r="A52" s="19"/>
      <c r="B52" s="19"/>
      <c r="C52" s="19"/>
      <c r="D52" s="43"/>
      <c r="E52" s="91"/>
      <c r="F52" s="19"/>
      <c r="G52" s="19"/>
      <c r="H52" s="19"/>
      <c r="I52" s="19"/>
      <c r="J52" s="19"/>
      <c r="K52" s="19"/>
      <c r="L52" s="19"/>
      <c r="M52" s="19"/>
      <c r="N52" s="19"/>
      <c r="O52" s="19"/>
      <c r="P52" s="19"/>
      <c r="Q52" s="19"/>
      <c r="R52" s="19"/>
      <c r="S52" s="19"/>
    </row>
    <row r="53" spans="1:19" s="118" customFormat="1" ht="19.5" customHeight="1">
      <c r="A53" s="19"/>
      <c r="B53" s="19"/>
      <c r="C53" s="19"/>
      <c r="D53" s="43"/>
      <c r="E53" s="91"/>
      <c r="F53" s="19"/>
      <c r="G53" s="19"/>
      <c r="H53" s="19"/>
      <c r="I53" s="19"/>
      <c r="J53" s="19"/>
      <c r="K53" s="19"/>
      <c r="L53" s="19"/>
      <c r="M53" s="19"/>
      <c r="N53" s="19"/>
      <c r="O53" s="19"/>
      <c r="P53" s="19"/>
      <c r="Q53" s="19"/>
      <c r="R53" s="19"/>
      <c r="S53" s="19"/>
    </row>
    <row r="54" spans="1:19" s="118" customFormat="1" ht="19.5" customHeight="1">
      <c r="A54" s="46" t="s">
        <v>120</v>
      </c>
      <c r="B54" s="46"/>
      <c r="C54" s="19"/>
      <c r="D54" s="19"/>
      <c r="E54" s="19"/>
      <c r="F54" s="19"/>
      <c r="G54" s="19"/>
      <c r="H54" s="19"/>
      <c r="I54" s="19"/>
      <c r="J54" s="19"/>
      <c r="K54" s="19"/>
      <c r="L54" s="19"/>
      <c r="M54" s="19"/>
      <c r="N54" s="19"/>
      <c r="O54" s="19"/>
      <c r="P54" s="19"/>
      <c r="Q54" s="19"/>
      <c r="R54" s="19"/>
      <c r="S54" s="19"/>
    </row>
    <row r="55" spans="1:19" s="118" customFormat="1" ht="19.5" customHeight="1">
      <c r="A55" s="19"/>
      <c r="B55" s="19"/>
      <c r="C55" s="19"/>
      <c r="D55" s="19"/>
      <c r="E55" s="19"/>
      <c r="F55" s="19"/>
      <c r="G55" s="19"/>
      <c r="H55" s="19"/>
      <c r="I55" s="19"/>
      <c r="J55" s="19"/>
      <c r="K55" s="19"/>
      <c r="L55" s="19"/>
      <c r="M55" s="19"/>
      <c r="N55" s="19"/>
      <c r="O55" s="19"/>
      <c r="P55" s="19"/>
      <c r="Q55" s="19"/>
      <c r="R55" s="19"/>
      <c r="S55" s="19"/>
    </row>
    <row r="56" spans="1:19" ht="16.5" thickBot="1">
      <c r="A56" s="115" t="s">
        <v>122</v>
      </c>
      <c r="B56" s="115"/>
      <c r="C56" s="115"/>
      <c r="D56" s="115"/>
      <c r="E56" s="115"/>
      <c r="F56" s="115"/>
      <c r="G56" s="115"/>
      <c r="H56" s="115"/>
      <c r="I56" s="115"/>
      <c r="J56" s="115"/>
      <c r="K56" s="115"/>
      <c r="L56" s="115"/>
      <c r="M56" s="115"/>
      <c r="N56" s="115"/>
      <c r="O56" s="115"/>
      <c r="P56" s="115"/>
      <c r="Q56" s="115"/>
      <c r="R56" s="115"/>
      <c r="S56" s="115"/>
    </row>
    <row r="57" ht="16.5" thickTop="1"/>
  </sheetData>
  <mergeCells count="1">
    <mergeCell ref="E7:N7"/>
  </mergeCells>
  <printOptions horizontalCentered="1"/>
  <pageMargins left="0.5" right="0.5" top="0.75" bottom="0.75" header="0.5" footer="0.5"/>
  <pageSetup fitToHeight="1" fitToWidth="1" horizontalDpi="600" verticalDpi="600" orientation="landscape" scale="48" r:id="rId1"/>
</worksheet>
</file>

<file path=xl/worksheets/sheet2.xml><?xml version="1.0" encoding="utf-8"?>
<worksheet xmlns="http://schemas.openxmlformats.org/spreadsheetml/2006/main" xmlns:r="http://schemas.openxmlformats.org/officeDocument/2006/relationships">
  <sheetPr>
    <pageSetUpPr fitToPage="1"/>
  </sheetPr>
  <dimension ref="A1:U28"/>
  <sheetViews>
    <sheetView zoomScale="75" zoomScaleNormal="75" workbookViewId="0" topLeftCell="A9">
      <selection activeCell="A29" sqref="A29"/>
    </sheetView>
  </sheetViews>
  <sheetFormatPr defaultColWidth="9.00390625" defaultRowHeight="15.75"/>
  <cols>
    <col min="1" max="1" width="3.25390625" style="0" customWidth="1"/>
    <col min="2" max="2" width="23.75390625" style="0" customWidth="1"/>
    <col min="3" max="3" width="11.625" style="0" bestFit="1" customWidth="1"/>
    <col min="4" max="4" width="7.125" style="0" bestFit="1" customWidth="1"/>
    <col min="5" max="5" width="1.75390625" style="0" customWidth="1"/>
    <col min="6" max="6" width="8.375" style="0" customWidth="1"/>
    <col min="7" max="7" width="10.00390625" style="0" bestFit="1" customWidth="1"/>
    <col min="8" max="8" width="10.00390625" style="0" customWidth="1"/>
    <col min="9" max="9" width="13.00390625" style="0" customWidth="1"/>
    <col min="10" max="12" width="11.625" style="0" bestFit="1" customWidth="1"/>
    <col min="13" max="13" width="15.125" style="0" customWidth="1"/>
    <col min="14" max="14" width="11.625" style="0" bestFit="1" customWidth="1"/>
    <col min="15" max="19" width="11.625" style="0" customWidth="1"/>
    <col min="20" max="20" width="11.625" style="0" bestFit="1" customWidth="1"/>
    <col min="21" max="21" width="10.50390625" style="0" customWidth="1"/>
  </cols>
  <sheetData>
    <row r="1" spans="1:20" ht="18.75" thickTop="1">
      <c r="A1" s="113" t="s">
        <v>99</v>
      </c>
      <c r="B1" s="116"/>
      <c r="C1" s="114"/>
      <c r="D1" s="114"/>
      <c r="E1" s="114"/>
      <c r="F1" s="114"/>
      <c r="G1" s="114"/>
      <c r="H1" s="114"/>
      <c r="I1" s="114"/>
      <c r="J1" s="114"/>
      <c r="K1" s="114"/>
      <c r="L1" s="114"/>
      <c r="M1" s="114"/>
      <c r="N1" s="114"/>
      <c r="O1" s="114"/>
      <c r="P1" s="114"/>
      <c r="Q1" s="114"/>
      <c r="R1" s="114"/>
      <c r="S1" s="114"/>
      <c r="T1" s="114"/>
    </row>
    <row r="2" spans="1:20" ht="18">
      <c r="A2" s="13" t="s">
        <v>97</v>
      </c>
      <c r="C2" s="15"/>
      <c r="D2" s="15"/>
      <c r="E2" s="15"/>
      <c r="F2" s="15"/>
      <c r="G2" s="15"/>
      <c r="H2" s="15"/>
      <c r="I2" s="15"/>
      <c r="J2" s="15"/>
      <c r="K2" s="15"/>
      <c r="L2" s="15"/>
      <c r="M2" s="15"/>
      <c r="N2" s="15"/>
      <c r="O2" s="15"/>
      <c r="P2" s="15"/>
      <c r="Q2" s="15"/>
      <c r="R2" s="15"/>
      <c r="S2" s="15"/>
      <c r="T2" s="15"/>
    </row>
    <row r="3" spans="1:20" ht="18">
      <c r="A3" s="12" t="s">
        <v>0</v>
      </c>
      <c r="C3" s="15"/>
      <c r="D3" s="15"/>
      <c r="E3" s="15"/>
      <c r="F3" s="15"/>
      <c r="G3" s="15"/>
      <c r="H3" s="15"/>
      <c r="I3" s="15"/>
      <c r="J3" s="15"/>
      <c r="K3" s="15"/>
      <c r="L3" s="15"/>
      <c r="M3" s="15"/>
      <c r="N3" s="15"/>
      <c r="O3" s="15"/>
      <c r="P3" s="15"/>
      <c r="Q3" s="15"/>
      <c r="R3" s="15"/>
      <c r="S3" s="15"/>
      <c r="T3" s="15"/>
    </row>
    <row r="4" spans="2:20" ht="18">
      <c r="B4" s="12"/>
      <c r="C4" s="15"/>
      <c r="D4" s="15"/>
      <c r="E4" s="15"/>
      <c r="F4" s="15"/>
      <c r="G4" s="15"/>
      <c r="H4" s="15"/>
      <c r="I4" s="15"/>
      <c r="J4" s="15"/>
      <c r="K4" s="15"/>
      <c r="L4" s="15"/>
      <c r="M4" s="15"/>
      <c r="N4" s="15"/>
      <c r="O4" s="15"/>
      <c r="P4" s="15"/>
      <c r="Q4" s="15"/>
      <c r="R4" s="15"/>
      <c r="S4" s="15"/>
      <c r="T4" s="15"/>
    </row>
    <row r="5" spans="2:20" ht="19.5" customHeight="1">
      <c r="B5" s="12"/>
      <c r="C5" s="15"/>
      <c r="D5" s="15"/>
      <c r="E5" s="15"/>
      <c r="F5" s="15"/>
      <c r="G5" s="15"/>
      <c r="H5" s="15"/>
      <c r="I5" s="15"/>
      <c r="J5" s="15"/>
      <c r="K5" s="15"/>
      <c r="L5" s="15"/>
      <c r="M5" s="15"/>
      <c r="N5" s="15"/>
      <c r="O5" s="15"/>
      <c r="P5" s="15"/>
      <c r="Q5" s="15"/>
      <c r="R5" s="15"/>
      <c r="S5" s="15"/>
      <c r="T5" s="15"/>
    </row>
    <row r="6" spans="1:20" ht="19.5" customHeight="1">
      <c r="A6" s="257"/>
      <c r="B6" s="257"/>
      <c r="C6" s="258"/>
      <c r="D6" s="258"/>
      <c r="E6" s="259"/>
      <c r="F6" s="273" t="s">
        <v>2</v>
      </c>
      <c r="G6" s="274"/>
      <c r="H6" s="274"/>
      <c r="I6" s="274"/>
      <c r="J6" s="274"/>
      <c r="K6" s="274"/>
      <c r="L6" s="274"/>
      <c r="M6" s="274"/>
      <c r="N6" s="274"/>
      <c r="O6" s="274"/>
      <c r="P6" s="274"/>
      <c r="Q6" s="274"/>
      <c r="R6" s="274"/>
      <c r="S6" s="274"/>
      <c r="T6" s="275"/>
    </row>
    <row r="7" spans="1:20" ht="19.5" customHeight="1">
      <c r="A7" s="257"/>
      <c r="B7" s="257"/>
      <c r="C7" s="258" t="s">
        <v>135</v>
      </c>
      <c r="D7" s="258"/>
      <c r="E7" s="70"/>
      <c r="F7" s="258" t="s">
        <v>3</v>
      </c>
      <c r="G7" s="258" t="s">
        <v>4</v>
      </c>
      <c r="H7" s="258" t="s">
        <v>5</v>
      </c>
      <c r="I7" s="258" t="s">
        <v>6</v>
      </c>
      <c r="J7" s="258" t="s">
        <v>7</v>
      </c>
      <c r="K7" s="258" t="s">
        <v>8</v>
      </c>
      <c r="L7" s="258" t="s">
        <v>9</v>
      </c>
      <c r="M7" s="258" t="s">
        <v>10</v>
      </c>
      <c r="N7" s="258" t="s">
        <v>11</v>
      </c>
      <c r="O7" s="258" t="s">
        <v>12</v>
      </c>
      <c r="P7" s="258" t="s">
        <v>13</v>
      </c>
      <c r="Q7" s="258" t="s">
        <v>14</v>
      </c>
      <c r="R7" s="258" t="s">
        <v>15</v>
      </c>
      <c r="S7" s="258" t="s">
        <v>16</v>
      </c>
      <c r="T7" s="258" t="s">
        <v>17</v>
      </c>
    </row>
    <row r="8" spans="2:20" ht="19.5" customHeight="1">
      <c r="B8" s="15"/>
      <c r="C8" s="73"/>
      <c r="D8" s="73"/>
      <c r="E8" s="15"/>
      <c r="F8" s="15"/>
      <c r="G8" s="15"/>
      <c r="H8" s="15"/>
      <c r="I8" s="15"/>
      <c r="J8" s="15"/>
      <c r="K8" s="15"/>
      <c r="L8" s="15"/>
      <c r="M8" s="15"/>
      <c r="N8" s="15"/>
      <c r="O8" s="15"/>
      <c r="P8" s="15"/>
      <c r="Q8" s="15"/>
      <c r="R8" s="15"/>
      <c r="S8" s="15"/>
      <c r="T8" s="15"/>
    </row>
    <row r="9" spans="1:20" ht="19.5" customHeight="1">
      <c r="A9" s="245"/>
      <c r="B9" s="245" t="s">
        <v>134</v>
      </c>
      <c r="C9" s="246"/>
      <c r="D9" s="246"/>
      <c r="E9" s="247"/>
      <c r="F9" s="247"/>
      <c r="G9" s="247"/>
      <c r="H9" s="247"/>
      <c r="I9" s="247"/>
      <c r="J9" s="247"/>
      <c r="K9" s="247"/>
      <c r="L9" s="247"/>
      <c r="M9" s="247"/>
      <c r="N9" s="247"/>
      <c r="O9" s="247"/>
      <c r="P9" s="247"/>
      <c r="Q9" s="247"/>
      <c r="R9" s="247"/>
      <c r="S9" s="247"/>
      <c r="T9" s="247"/>
    </row>
    <row r="10" spans="1:20" ht="19.5" customHeight="1">
      <c r="A10" s="69"/>
      <c r="B10" s="69" t="str">
        <f>+'Development Costs'!B13</f>
        <v>Rental Housing</v>
      </c>
      <c r="C10" s="248">
        <v>450</v>
      </c>
      <c r="D10" s="249" t="s">
        <v>18</v>
      </c>
      <c r="E10" s="69"/>
      <c r="F10" s="250">
        <v>0</v>
      </c>
      <c r="G10" s="250">
        <v>100</v>
      </c>
      <c r="H10" s="250">
        <v>200</v>
      </c>
      <c r="I10" s="250">
        <v>325</v>
      </c>
      <c r="J10" s="250">
        <f aca="true" t="shared" si="0" ref="J10:T10">+$C$10</f>
        <v>450</v>
      </c>
      <c r="K10" s="250">
        <f t="shared" si="0"/>
        <v>450</v>
      </c>
      <c r="L10" s="250">
        <f t="shared" si="0"/>
        <v>450</v>
      </c>
      <c r="M10" s="250">
        <f t="shared" si="0"/>
        <v>450</v>
      </c>
      <c r="N10" s="250">
        <f t="shared" si="0"/>
        <v>450</v>
      </c>
      <c r="O10" s="250">
        <f t="shared" si="0"/>
        <v>450</v>
      </c>
      <c r="P10" s="250">
        <f t="shared" si="0"/>
        <v>450</v>
      </c>
      <c r="Q10" s="250">
        <f t="shared" si="0"/>
        <v>450</v>
      </c>
      <c r="R10" s="250">
        <f t="shared" si="0"/>
        <v>450</v>
      </c>
      <c r="S10" s="250">
        <f t="shared" si="0"/>
        <v>450</v>
      </c>
      <c r="T10" s="250">
        <f t="shared" si="0"/>
        <v>450</v>
      </c>
    </row>
    <row r="11" spans="1:20" ht="19.5" customHeight="1">
      <c r="A11" s="69"/>
      <c r="B11" s="69" t="str">
        <f>+'Development Costs'!B14</f>
        <v>For-sale Housing</v>
      </c>
      <c r="C11" s="248">
        <v>100</v>
      </c>
      <c r="D11" s="249" t="s">
        <v>18</v>
      </c>
      <c r="E11" s="69"/>
      <c r="F11" s="250">
        <v>0</v>
      </c>
      <c r="G11" s="250">
        <v>30</v>
      </c>
      <c r="H11" s="250">
        <v>60</v>
      </c>
      <c r="I11" s="250">
        <v>100</v>
      </c>
      <c r="J11" s="250">
        <f aca="true" t="shared" si="1" ref="J11:T11">+$C11</f>
        <v>100</v>
      </c>
      <c r="K11" s="250">
        <f t="shared" si="1"/>
        <v>100</v>
      </c>
      <c r="L11" s="250">
        <f t="shared" si="1"/>
        <v>100</v>
      </c>
      <c r="M11" s="250">
        <f t="shared" si="1"/>
        <v>100</v>
      </c>
      <c r="N11" s="250">
        <f t="shared" si="1"/>
        <v>100</v>
      </c>
      <c r="O11" s="250">
        <f t="shared" si="1"/>
        <v>100</v>
      </c>
      <c r="P11" s="250">
        <f t="shared" si="1"/>
        <v>100</v>
      </c>
      <c r="Q11" s="250">
        <f t="shared" si="1"/>
        <v>100</v>
      </c>
      <c r="R11" s="250">
        <f t="shared" si="1"/>
        <v>100</v>
      </c>
      <c r="S11" s="250">
        <f t="shared" si="1"/>
        <v>100</v>
      </c>
      <c r="T11" s="250">
        <f t="shared" si="1"/>
        <v>100</v>
      </c>
    </row>
    <row r="12" spans="1:21" ht="19.5" customHeight="1">
      <c r="A12" s="69"/>
      <c r="B12" s="69" t="str">
        <f>+'Development Costs'!B15</f>
        <v>Office/Commercial</v>
      </c>
      <c r="C12" s="248">
        <v>750000</v>
      </c>
      <c r="D12" s="249" t="s">
        <v>19</v>
      </c>
      <c r="E12" s="69"/>
      <c r="F12" s="250">
        <v>0</v>
      </c>
      <c r="G12" s="250">
        <v>50000</v>
      </c>
      <c r="H12" s="250">
        <v>100000</v>
      </c>
      <c r="I12" s="250">
        <f>+H12+100000</f>
        <v>200000</v>
      </c>
      <c r="J12" s="250">
        <f>+I12+100000</f>
        <v>300000</v>
      </c>
      <c r="K12" s="250">
        <f>+J12+100000</f>
        <v>400000</v>
      </c>
      <c r="L12" s="250">
        <f>+K12+100000</f>
        <v>500000</v>
      </c>
      <c r="M12" s="250">
        <f>IF(L12+125000&lt;$C12,L12+125000,$C12)</f>
        <v>625000</v>
      </c>
      <c r="N12" s="250">
        <f aca="true" t="shared" si="2" ref="N12:T12">IF(M12+125000&lt;$C12,M12+125000,$C12)</f>
        <v>750000</v>
      </c>
      <c r="O12" s="250">
        <f t="shared" si="2"/>
        <v>750000</v>
      </c>
      <c r="P12" s="250">
        <f t="shared" si="2"/>
        <v>750000</v>
      </c>
      <c r="Q12" s="250">
        <f t="shared" si="2"/>
        <v>750000</v>
      </c>
      <c r="R12" s="250">
        <f t="shared" si="2"/>
        <v>750000</v>
      </c>
      <c r="S12" s="250">
        <f t="shared" si="2"/>
        <v>750000</v>
      </c>
      <c r="T12" s="250">
        <f t="shared" si="2"/>
        <v>750000</v>
      </c>
      <c r="U12" s="3"/>
    </row>
    <row r="13" spans="1:21" ht="19.5" customHeight="1">
      <c r="A13" s="69"/>
      <c r="B13" s="69" t="str">
        <f>+'Development Costs'!B16</f>
        <v>Retail</v>
      </c>
      <c r="C13" s="248">
        <v>250000</v>
      </c>
      <c r="D13" s="249" t="s">
        <v>19</v>
      </c>
      <c r="E13" s="69"/>
      <c r="F13" s="250">
        <v>0</v>
      </c>
      <c r="G13" s="250">
        <v>0</v>
      </c>
      <c r="H13" s="250">
        <v>0</v>
      </c>
      <c r="I13" s="250">
        <v>100000</v>
      </c>
      <c r="J13" s="250">
        <v>145000</v>
      </c>
      <c r="K13" s="250">
        <f>+J13+20000</f>
        <v>165000</v>
      </c>
      <c r="L13" s="250">
        <v>200000</v>
      </c>
      <c r="M13" s="250">
        <f aca="true" t="shared" si="3" ref="M13:T13">IF(L13+25000&lt;$C13,L13+25000,$C13)</f>
        <v>225000</v>
      </c>
      <c r="N13" s="250">
        <f t="shared" si="3"/>
        <v>250000</v>
      </c>
      <c r="O13" s="250">
        <f t="shared" si="3"/>
        <v>250000</v>
      </c>
      <c r="P13" s="250">
        <f t="shared" si="3"/>
        <v>250000</v>
      </c>
      <c r="Q13" s="250">
        <f t="shared" si="3"/>
        <v>250000</v>
      </c>
      <c r="R13" s="250">
        <f t="shared" si="3"/>
        <v>250000</v>
      </c>
      <c r="S13" s="250">
        <f t="shared" si="3"/>
        <v>250000</v>
      </c>
      <c r="T13" s="250">
        <f t="shared" si="3"/>
        <v>250000</v>
      </c>
      <c r="U13" s="3"/>
    </row>
    <row r="14" spans="1:21" ht="19.5" customHeight="1">
      <c r="A14" s="69"/>
      <c r="B14" s="69" t="str">
        <f>+'Development Costs'!B17</f>
        <v>Hotel</v>
      </c>
      <c r="C14" s="248">
        <v>300</v>
      </c>
      <c r="D14" s="249" t="s">
        <v>137</v>
      </c>
      <c r="E14" s="69"/>
      <c r="F14" s="250">
        <v>0</v>
      </c>
      <c r="G14" s="250">
        <v>0</v>
      </c>
      <c r="H14" s="250">
        <v>0</v>
      </c>
      <c r="I14" s="250">
        <v>0</v>
      </c>
      <c r="J14" s="250">
        <v>0</v>
      </c>
      <c r="K14" s="250">
        <v>0</v>
      </c>
      <c r="L14" s="250">
        <f aca="true" t="shared" si="4" ref="L14:T14">+$C14</f>
        <v>300</v>
      </c>
      <c r="M14" s="250">
        <f t="shared" si="4"/>
        <v>300</v>
      </c>
      <c r="N14" s="250">
        <f t="shared" si="4"/>
        <v>300</v>
      </c>
      <c r="O14" s="250">
        <f t="shared" si="4"/>
        <v>300</v>
      </c>
      <c r="P14" s="250">
        <f t="shared" si="4"/>
        <v>300</v>
      </c>
      <c r="Q14" s="250">
        <f t="shared" si="4"/>
        <v>300</v>
      </c>
      <c r="R14" s="250">
        <f t="shared" si="4"/>
        <v>300</v>
      </c>
      <c r="S14" s="250">
        <f t="shared" si="4"/>
        <v>300</v>
      </c>
      <c r="T14" s="250">
        <f t="shared" si="4"/>
        <v>300</v>
      </c>
      <c r="U14" s="3"/>
    </row>
    <row r="15" spans="1:20" ht="19.5" customHeight="1">
      <c r="A15" s="70"/>
      <c r="B15" s="70" t="str">
        <f>+'Development Costs'!B18</f>
        <v>Structured Parking</v>
      </c>
      <c r="C15" s="251">
        <v>3000</v>
      </c>
      <c r="D15" s="252" t="s">
        <v>20</v>
      </c>
      <c r="E15" s="70"/>
      <c r="F15" s="71">
        <v>0</v>
      </c>
      <c r="G15" s="71">
        <f aca="true" t="shared" si="5" ref="G15:T15">ROUND(((G12+G13)/($C12+$C13))*$C$15,0)</f>
        <v>150</v>
      </c>
      <c r="H15" s="71">
        <f t="shared" si="5"/>
        <v>300</v>
      </c>
      <c r="I15" s="71">
        <f t="shared" si="5"/>
        <v>900</v>
      </c>
      <c r="J15" s="71">
        <f t="shared" si="5"/>
        <v>1335</v>
      </c>
      <c r="K15" s="71">
        <f t="shared" si="5"/>
        <v>1695</v>
      </c>
      <c r="L15" s="71">
        <f t="shared" si="5"/>
        <v>2100</v>
      </c>
      <c r="M15" s="71">
        <f t="shared" si="5"/>
        <v>2550</v>
      </c>
      <c r="N15" s="71">
        <f t="shared" si="5"/>
        <v>3000</v>
      </c>
      <c r="O15" s="71">
        <f t="shared" si="5"/>
        <v>3000</v>
      </c>
      <c r="P15" s="71">
        <f t="shared" si="5"/>
        <v>3000</v>
      </c>
      <c r="Q15" s="71">
        <f t="shared" si="5"/>
        <v>3000</v>
      </c>
      <c r="R15" s="71">
        <f t="shared" si="5"/>
        <v>3000</v>
      </c>
      <c r="S15" s="71">
        <f t="shared" si="5"/>
        <v>3000</v>
      </c>
      <c r="T15" s="71">
        <f t="shared" si="5"/>
        <v>3000</v>
      </c>
    </row>
    <row r="16" spans="1:20" ht="19.5" customHeight="1">
      <c r="A16" s="15"/>
      <c r="B16" s="15"/>
      <c r="C16" s="73"/>
      <c r="D16" s="73"/>
      <c r="E16" s="15"/>
      <c r="F16" s="15"/>
      <c r="G16" s="15"/>
      <c r="H16" s="15"/>
      <c r="I16" s="15"/>
      <c r="J16" s="15"/>
      <c r="K16" s="15"/>
      <c r="L16" s="15"/>
      <c r="M16" s="15"/>
      <c r="N16" s="15"/>
      <c r="O16" s="15"/>
      <c r="P16" s="15"/>
      <c r="Q16" s="15"/>
      <c r="R16" s="15"/>
      <c r="S16" s="15"/>
      <c r="T16" s="15"/>
    </row>
    <row r="17" spans="1:20" ht="19.5" customHeight="1">
      <c r="A17" s="15"/>
      <c r="B17" s="15"/>
      <c r="C17" s="15"/>
      <c r="D17" s="15"/>
      <c r="E17" s="15"/>
      <c r="F17" s="15"/>
      <c r="G17" s="15"/>
      <c r="H17" s="15"/>
      <c r="I17" s="15"/>
      <c r="J17" s="15"/>
      <c r="K17" s="15"/>
      <c r="L17" s="15"/>
      <c r="M17" s="15"/>
      <c r="N17" s="15"/>
      <c r="O17" s="15"/>
      <c r="P17" s="15"/>
      <c r="Q17" s="15"/>
      <c r="R17" s="15"/>
      <c r="S17" s="15"/>
      <c r="T17" s="15"/>
    </row>
    <row r="18" spans="1:20" ht="19.5" customHeight="1">
      <c r="A18" s="245"/>
      <c r="B18" s="245" t="s">
        <v>133</v>
      </c>
      <c r="C18" s="247"/>
      <c r="D18" s="247"/>
      <c r="E18" s="247"/>
      <c r="F18" s="247"/>
      <c r="G18" s="247"/>
      <c r="H18" s="247"/>
      <c r="I18" s="247"/>
      <c r="J18" s="247"/>
      <c r="K18" s="247"/>
      <c r="L18" s="247"/>
      <c r="M18" s="247"/>
      <c r="N18" s="247"/>
      <c r="O18" s="247"/>
      <c r="P18" s="247"/>
      <c r="Q18" s="247"/>
      <c r="R18" s="247"/>
      <c r="S18" s="247"/>
      <c r="T18" s="247"/>
    </row>
    <row r="19" spans="1:20" ht="19.5" customHeight="1">
      <c r="A19" s="69"/>
      <c r="B19" s="69" t="str">
        <f aca="true" t="shared" si="6" ref="B19:B24">+B10</f>
        <v>Rental Housing</v>
      </c>
      <c r="C19" s="248">
        <f>+'Infra Cost Distribution'!C8</f>
        <v>450000</v>
      </c>
      <c r="D19" s="69"/>
      <c r="E19" s="69"/>
      <c r="F19" s="250">
        <f aca="true" t="shared" si="7" ref="F19:T19">+$C19*(F10/$C10)</f>
        <v>0</v>
      </c>
      <c r="G19" s="250">
        <f t="shared" si="7"/>
        <v>100000</v>
      </c>
      <c r="H19" s="250">
        <f t="shared" si="7"/>
        <v>200000</v>
      </c>
      <c r="I19" s="250">
        <f t="shared" si="7"/>
        <v>325000</v>
      </c>
      <c r="J19" s="250">
        <f t="shared" si="7"/>
        <v>450000</v>
      </c>
      <c r="K19" s="250">
        <f t="shared" si="7"/>
        <v>450000</v>
      </c>
      <c r="L19" s="250">
        <f t="shared" si="7"/>
        <v>450000</v>
      </c>
      <c r="M19" s="250">
        <f t="shared" si="7"/>
        <v>450000</v>
      </c>
      <c r="N19" s="250">
        <f t="shared" si="7"/>
        <v>450000</v>
      </c>
      <c r="O19" s="250">
        <f t="shared" si="7"/>
        <v>450000</v>
      </c>
      <c r="P19" s="250">
        <f t="shared" si="7"/>
        <v>450000</v>
      </c>
      <c r="Q19" s="250">
        <f t="shared" si="7"/>
        <v>450000</v>
      </c>
      <c r="R19" s="250">
        <f t="shared" si="7"/>
        <v>450000</v>
      </c>
      <c r="S19" s="250">
        <f t="shared" si="7"/>
        <v>450000</v>
      </c>
      <c r="T19" s="250">
        <f t="shared" si="7"/>
        <v>450000</v>
      </c>
    </row>
    <row r="20" spans="1:20" ht="19.5" customHeight="1">
      <c r="A20" s="69"/>
      <c r="B20" s="69" t="str">
        <f t="shared" si="6"/>
        <v>For-sale Housing</v>
      </c>
      <c r="C20" s="248">
        <f>+'Infra Cost Distribution'!C9</f>
        <v>160000</v>
      </c>
      <c r="D20" s="69"/>
      <c r="E20" s="69"/>
      <c r="F20" s="250">
        <f aca="true" t="shared" si="8" ref="F20:T20">+$C20*(F11/$C11)</f>
        <v>0</v>
      </c>
      <c r="G20" s="250">
        <f t="shared" si="8"/>
        <v>48000</v>
      </c>
      <c r="H20" s="250">
        <f t="shared" si="8"/>
        <v>96000</v>
      </c>
      <c r="I20" s="250">
        <f t="shared" si="8"/>
        <v>160000</v>
      </c>
      <c r="J20" s="250">
        <f t="shared" si="8"/>
        <v>160000</v>
      </c>
      <c r="K20" s="250">
        <f t="shared" si="8"/>
        <v>160000</v>
      </c>
      <c r="L20" s="250">
        <f t="shared" si="8"/>
        <v>160000</v>
      </c>
      <c r="M20" s="250">
        <f t="shared" si="8"/>
        <v>160000</v>
      </c>
      <c r="N20" s="250">
        <f t="shared" si="8"/>
        <v>160000</v>
      </c>
      <c r="O20" s="250">
        <f t="shared" si="8"/>
        <v>160000</v>
      </c>
      <c r="P20" s="250">
        <f t="shared" si="8"/>
        <v>160000</v>
      </c>
      <c r="Q20" s="250">
        <f t="shared" si="8"/>
        <v>160000</v>
      </c>
      <c r="R20" s="250">
        <f t="shared" si="8"/>
        <v>160000</v>
      </c>
      <c r="S20" s="250">
        <f t="shared" si="8"/>
        <v>160000</v>
      </c>
      <c r="T20" s="250">
        <f t="shared" si="8"/>
        <v>160000</v>
      </c>
    </row>
    <row r="21" spans="1:20" ht="19.5" customHeight="1">
      <c r="A21" s="69"/>
      <c r="B21" s="69" t="str">
        <f t="shared" si="6"/>
        <v>Office/Commercial</v>
      </c>
      <c r="C21" s="248">
        <f>+'Infra Cost Distribution'!C10</f>
        <v>750000</v>
      </c>
      <c r="D21" s="69"/>
      <c r="E21" s="69"/>
      <c r="F21" s="250">
        <f aca="true" t="shared" si="9" ref="F21:T21">+$C21*(F12/$C12)</f>
        <v>0</v>
      </c>
      <c r="G21" s="250">
        <f t="shared" si="9"/>
        <v>50000</v>
      </c>
      <c r="H21" s="250">
        <f t="shared" si="9"/>
        <v>100000</v>
      </c>
      <c r="I21" s="250">
        <f t="shared" si="9"/>
        <v>200000</v>
      </c>
      <c r="J21" s="250">
        <f t="shared" si="9"/>
        <v>300000</v>
      </c>
      <c r="K21" s="250">
        <f t="shared" si="9"/>
        <v>400000</v>
      </c>
      <c r="L21" s="250">
        <f t="shared" si="9"/>
        <v>500000</v>
      </c>
      <c r="M21" s="250">
        <f t="shared" si="9"/>
        <v>625000</v>
      </c>
      <c r="N21" s="250">
        <f t="shared" si="9"/>
        <v>750000</v>
      </c>
      <c r="O21" s="250">
        <f t="shared" si="9"/>
        <v>750000</v>
      </c>
      <c r="P21" s="250">
        <f t="shared" si="9"/>
        <v>750000</v>
      </c>
      <c r="Q21" s="250">
        <f t="shared" si="9"/>
        <v>750000</v>
      </c>
      <c r="R21" s="250">
        <f t="shared" si="9"/>
        <v>750000</v>
      </c>
      <c r="S21" s="250">
        <f t="shared" si="9"/>
        <v>750000</v>
      </c>
      <c r="T21" s="250">
        <f t="shared" si="9"/>
        <v>750000</v>
      </c>
    </row>
    <row r="22" spans="1:20" ht="19.5" customHeight="1">
      <c r="A22" s="69"/>
      <c r="B22" s="69" t="str">
        <f t="shared" si="6"/>
        <v>Retail</v>
      </c>
      <c r="C22" s="248">
        <f>+'Infra Cost Distribution'!C11</f>
        <v>250000</v>
      </c>
      <c r="D22" s="69"/>
      <c r="E22" s="69"/>
      <c r="F22" s="250">
        <f aca="true" t="shared" si="10" ref="F22:T22">+$C22*(F13/$C13)</f>
        <v>0</v>
      </c>
      <c r="G22" s="250">
        <f t="shared" si="10"/>
        <v>0</v>
      </c>
      <c r="H22" s="250">
        <f t="shared" si="10"/>
        <v>0</v>
      </c>
      <c r="I22" s="250">
        <f t="shared" si="10"/>
        <v>100000</v>
      </c>
      <c r="J22" s="250">
        <f t="shared" si="10"/>
        <v>145000</v>
      </c>
      <c r="K22" s="250">
        <f t="shared" si="10"/>
        <v>165000</v>
      </c>
      <c r="L22" s="250">
        <f t="shared" si="10"/>
        <v>200000</v>
      </c>
      <c r="M22" s="250">
        <f t="shared" si="10"/>
        <v>225000</v>
      </c>
      <c r="N22" s="250">
        <f t="shared" si="10"/>
        <v>250000</v>
      </c>
      <c r="O22" s="250">
        <f t="shared" si="10"/>
        <v>250000</v>
      </c>
      <c r="P22" s="250">
        <f t="shared" si="10"/>
        <v>250000</v>
      </c>
      <c r="Q22" s="250">
        <f t="shared" si="10"/>
        <v>250000</v>
      </c>
      <c r="R22" s="250">
        <f t="shared" si="10"/>
        <v>250000</v>
      </c>
      <c r="S22" s="250">
        <f t="shared" si="10"/>
        <v>250000</v>
      </c>
      <c r="T22" s="250">
        <f t="shared" si="10"/>
        <v>250000</v>
      </c>
    </row>
    <row r="23" spans="1:20" ht="19.5" customHeight="1">
      <c r="A23" s="69"/>
      <c r="B23" s="69" t="str">
        <f t="shared" si="6"/>
        <v>Hotel</v>
      </c>
      <c r="C23" s="248">
        <f>+'Infra Cost Distribution'!C12</f>
        <v>150000</v>
      </c>
      <c r="D23" s="69"/>
      <c r="E23" s="69"/>
      <c r="F23" s="250">
        <f aca="true" t="shared" si="11" ref="F23:T23">+$C23*(F14/$C14)</f>
        <v>0</v>
      </c>
      <c r="G23" s="250">
        <f t="shared" si="11"/>
        <v>0</v>
      </c>
      <c r="H23" s="250">
        <f t="shared" si="11"/>
        <v>0</v>
      </c>
      <c r="I23" s="250">
        <f t="shared" si="11"/>
        <v>0</v>
      </c>
      <c r="J23" s="250">
        <f t="shared" si="11"/>
        <v>0</v>
      </c>
      <c r="K23" s="250">
        <f t="shared" si="11"/>
        <v>0</v>
      </c>
      <c r="L23" s="250">
        <f t="shared" si="11"/>
        <v>150000</v>
      </c>
      <c r="M23" s="250">
        <f t="shared" si="11"/>
        <v>150000</v>
      </c>
      <c r="N23" s="250">
        <f t="shared" si="11"/>
        <v>150000</v>
      </c>
      <c r="O23" s="250">
        <f t="shared" si="11"/>
        <v>150000</v>
      </c>
      <c r="P23" s="250">
        <f t="shared" si="11"/>
        <v>150000</v>
      </c>
      <c r="Q23" s="250">
        <f t="shared" si="11"/>
        <v>150000</v>
      </c>
      <c r="R23" s="250">
        <f t="shared" si="11"/>
        <v>150000</v>
      </c>
      <c r="S23" s="250">
        <f t="shared" si="11"/>
        <v>150000</v>
      </c>
      <c r="T23" s="250">
        <f t="shared" si="11"/>
        <v>150000</v>
      </c>
    </row>
    <row r="24" spans="1:20" ht="19.5" customHeight="1">
      <c r="A24" s="69"/>
      <c r="B24" s="69" t="str">
        <f t="shared" si="6"/>
        <v>Structured Parking</v>
      </c>
      <c r="C24" s="253">
        <f>+'Infra Cost Distribution'!C13</f>
        <v>975000</v>
      </c>
      <c r="D24" s="69"/>
      <c r="E24" s="69"/>
      <c r="F24" s="254">
        <f aca="true" t="shared" si="12" ref="F24:T24">+$C24*(F15/$C15)</f>
        <v>0</v>
      </c>
      <c r="G24" s="254">
        <f t="shared" si="12"/>
        <v>48750</v>
      </c>
      <c r="H24" s="254">
        <f t="shared" si="12"/>
        <v>97500</v>
      </c>
      <c r="I24" s="254">
        <f t="shared" si="12"/>
        <v>292500</v>
      </c>
      <c r="J24" s="254">
        <f t="shared" si="12"/>
        <v>433875</v>
      </c>
      <c r="K24" s="254">
        <f t="shared" si="12"/>
        <v>550875</v>
      </c>
      <c r="L24" s="254">
        <f t="shared" si="12"/>
        <v>682500</v>
      </c>
      <c r="M24" s="254">
        <f t="shared" si="12"/>
        <v>828750</v>
      </c>
      <c r="N24" s="254">
        <f t="shared" si="12"/>
        <v>975000</v>
      </c>
      <c r="O24" s="254">
        <f t="shared" si="12"/>
        <v>975000</v>
      </c>
      <c r="P24" s="254">
        <f t="shared" si="12"/>
        <v>975000</v>
      </c>
      <c r="Q24" s="254">
        <f t="shared" si="12"/>
        <v>975000</v>
      </c>
      <c r="R24" s="254">
        <f t="shared" si="12"/>
        <v>975000</v>
      </c>
      <c r="S24" s="254">
        <f t="shared" si="12"/>
        <v>975000</v>
      </c>
      <c r="T24" s="254">
        <f t="shared" si="12"/>
        <v>975000</v>
      </c>
    </row>
    <row r="25" spans="1:20" s="4" customFormat="1" ht="19.5" customHeight="1">
      <c r="A25" s="72"/>
      <c r="B25" s="72" t="s">
        <v>1</v>
      </c>
      <c r="C25" s="255">
        <f>SUM(C19:C24)</f>
        <v>2735000</v>
      </c>
      <c r="D25" s="72"/>
      <c r="E25" s="72"/>
      <c r="F25" s="256">
        <f>SUM(F19:F24)</f>
        <v>0</v>
      </c>
      <c r="G25" s="256">
        <f aca="true" t="shared" si="13" ref="G25:T25">SUM(G19:G24)</f>
        <v>246750</v>
      </c>
      <c r="H25" s="256">
        <f t="shared" si="13"/>
        <v>493500</v>
      </c>
      <c r="I25" s="256">
        <f t="shared" si="13"/>
        <v>1077500</v>
      </c>
      <c r="J25" s="256">
        <f t="shared" si="13"/>
        <v>1488875</v>
      </c>
      <c r="K25" s="256">
        <f t="shared" si="13"/>
        <v>1725875</v>
      </c>
      <c r="L25" s="256">
        <f t="shared" si="13"/>
        <v>2142500</v>
      </c>
      <c r="M25" s="256">
        <f t="shared" si="13"/>
        <v>2438750</v>
      </c>
      <c r="N25" s="256">
        <f t="shared" si="13"/>
        <v>2735000</v>
      </c>
      <c r="O25" s="256">
        <f t="shared" si="13"/>
        <v>2735000</v>
      </c>
      <c r="P25" s="256">
        <f t="shared" si="13"/>
        <v>2735000</v>
      </c>
      <c r="Q25" s="256">
        <f t="shared" si="13"/>
        <v>2735000</v>
      </c>
      <c r="R25" s="256">
        <f t="shared" si="13"/>
        <v>2735000</v>
      </c>
      <c r="S25" s="256">
        <f t="shared" si="13"/>
        <v>2735000</v>
      </c>
      <c r="T25" s="256">
        <f t="shared" si="13"/>
        <v>2735000</v>
      </c>
    </row>
    <row r="26" spans="2:20" ht="19.5" customHeight="1">
      <c r="B26" s="15"/>
      <c r="C26" s="15"/>
      <c r="D26" s="15"/>
      <c r="E26" s="15"/>
      <c r="F26" s="15"/>
      <c r="G26" s="15"/>
      <c r="H26" s="15"/>
      <c r="I26" s="15"/>
      <c r="J26" s="15"/>
      <c r="K26" s="15"/>
      <c r="L26" s="15"/>
      <c r="M26" s="15"/>
      <c r="N26" s="15"/>
      <c r="O26" s="15"/>
      <c r="P26" s="15"/>
      <c r="Q26" s="15"/>
      <c r="R26" s="15"/>
      <c r="S26" s="15"/>
      <c r="T26" s="15"/>
    </row>
    <row r="27" spans="2:20" ht="19.5" customHeight="1">
      <c r="B27" s="15"/>
      <c r="C27" s="15"/>
      <c r="D27" s="15"/>
      <c r="E27" s="15"/>
      <c r="F27" s="15"/>
      <c r="G27" s="15"/>
      <c r="H27" s="15"/>
      <c r="I27" s="15"/>
      <c r="J27" s="15"/>
      <c r="K27" s="15"/>
      <c r="L27" s="15"/>
      <c r="M27" s="15"/>
      <c r="N27" s="15"/>
      <c r="O27" s="15"/>
      <c r="P27" s="15"/>
      <c r="Q27" s="15"/>
      <c r="R27" s="15"/>
      <c r="S27" s="15"/>
      <c r="T27" s="15"/>
    </row>
    <row r="28" spans="1:20" ht="19.5" customHeight="1" thickBot="1">
      <c r="A28" s="115" t="s">
        <v>145</v>
      </c>
      <c r="B28" s="115"/>
      <c r="C28" s="115"/>
      <c r="D28" s="115"/>
      <c r="E28" s="115"/>
      <c r="F28" s="115"/>
      <c r="G28" s="115"/>
      <c r="H28" s="115"/>
      <c r="I28" s="115"/>
      <c r="J28" s="115"/>
      <c r="K28" s="115"/>
      <c r="L28" s="115"/>
      <c r="M28" s="115"/>
      <c r="N28" s="115"/>
      <c r="O28" s="115"/>
      <c r="P28" s="115"/>
      <c r="Q28" s="115"/>
      <c r="R28" s="115"/>
      <c r="S28" s="115"/>
      <c r="T28" s="115"/>
    </row>
    <row r="29" ht="19.5" customHeight="1" thickTop="1"/>
    <row r="30" ht="19.5" customHeight="1"/>
  </sheetData>
  <mergeCells count="1">
    <mergeCell ref="F6:T6"/>
  </mergeCells>
  <printOptions horizontalCentered="1"/>
  <pageMargins left="0.5" right="0.75" top="0.75" bottom="0.5" header="0.5" footer="0.5"/>
  <pageSetup fitToHeight="1" fitToWidth="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K39"/>
  <sheetViews>
    <sheetView zoomScale="75" zoomScaleNormal="75" workbookViewId="0" topLeftCell="A8">
      <selection activeCell="F15" sqref="F15"/>
    </sheetView>
  </sheetViews>
  <sheetFormatPr defaultColWidth="9.00390625" defaultRowHeight="15.75"/>
  <cols>
    <col min="1" max="1" width="3.00390625" style="0" customWidth="1"/>
    <col min="2" max="2" width="33.75390625" style="0" customWidth="1"/>
    <col min="3" max="3" width="14.00390625" style="0" bestFit="1" customWidth="1"/>
    <col min="4" max="4" width="12.125" style="0" customWidth="1"/>
    <col min="5" max="5" width="2.25390625" style="0" customWidth="1"/>
    <col min="6" max="6" width="12.25390625" style="0" bestFit="1" customWidth="1"/>
    <col min="7" max="7" width="11.625" style="0" bestFit="1" customWidth="1"/>
    <col min="8" max="8" width="2.375" style="0" customWidth="1"/>
    <col min="9" max="9" width="12.25390625" style="0" bestFit="1" customWidth="1"/>
    <col min="10" max="10" width="11.625" style="0" bestFit="1" customWidth="1"/>
  </cols>
  <sheetData>
    <row r="1" spans="1:10" ht="18.75" thickTop="1">
      <c r="A1" s="113" t="s">
        <v>100</v>
      </c>
      <c r="B1" s="114"/>
      <c r="C1" s="114"/>
      <c r="D1" s="114"/>
      <c r="E1" s="114"/>
      <c r="F1" s="114"/>
      <c r="G1" s="114"/>
      <c r="H1" s="114"/>
      <c r="I1" s="114"/>
      <c r="J1" s="114"/>
    </row>
    <row r="2" spans="1:10" ht="18">
      <c r="A2" s="13" t="s">
        <v>97</v>
      </c>
      <c r="B2" s="15"/>
      <c r="C2" s="15"/>
      <c r="D2" s="15"/>
      <c r="E2" s="15"/>
      <c r="F2" s="15"/>
      <c r="G2" s="15"/>
      <c r="H2" s="15"/>
      <c r="I2" s="15"/>
      <c r="J2" s="15"/>
    </row>
    <row r="3" spans="1:10" ht="18">
      <c r="A3" s="12" t="s">
        <v>44</v>
      </c>
      <c r="B3" s="15"/>
      <c r="C3" s="15"/>
      <c r="D3" s="15"/>
      <c r="E3" s="15"/>
      <c r="F3" s="15"/>
      <c r="G3" s="15"/>
      <c r="H3" s="15"/>
      <c r="I3" s="15"/>
      <c r="J3" s="15"/>
    </row>
    <row r="4" spans="1:10" ht="15" customHeight="1">
      <c r="A4" s="15"/>
      <c r="B4" s="12"/>
      <c r="C4" s="15"/>
      <c r="D4" s="15"/>
      <c r="E4" s="15"/>
      <c r="F4" s="15"/>
      <c r="G4" s="15"/>
      <c r="H4" s="15"/>
      <c r="I4" s="15"/>
      <c r="J4" s="15"/>
    </row>
    <row r="5" spans="1:10" ht="15" customHeight="1">
      <c r="A5" s="15"/>
      <c r="B5" s="12"/>
      <c r="C5" s="15"/>
      <c r="D5" s="15"/>
      <c r="E5" s="15"/>
      <c r="F5" s="15"/>
      <c r="G5" s="15"/>
      <c r="H5" s="15"/>
      <c r="I5" s="15"/>
      <c r="J5" s="15"/>
    </row>
    <row r="6" spans="1:10" s="7" customFormat="1" ht="19.5" customHeight="1">
      <c r="A6" s="48"/>
      <c r="B6" s="227" t="s">
        <v>131</v>
      </c>
      <c r="C6" s="48"/>
      <c r="D6" s="48"/>
      <c r="E6" s="48"/>
      <c r="F6" s="48"/>
      <c r="G6" s="48"/>
      <c r="H6" s="48"/>
      <c r="I6" s="48"/>
      <c r="J6" s="48"/>
    </row>
    <row r="7" spans="1:10" ht="19.5" customHeight="1">
      <c r="A7" s="51"/>
      <c r="B7" s="228"/>
      <c r="C7" s="51"/>
      <c r="D7" s="51"/>
      <c r="E7" s="51"/>
      <c r="F7" s="51"/>
      <c r="G7" s="51"/>
      <c r="H7" s="51"/>
      <c r="I7" s="51"/>
      <c r="J7" s="51"/>
    </row>
    <row r="8" spans="1:10" ht="19.5" customHeight="1">
      <c r="A8" s="51"/>
      <c r="B8" s="229" t="s">
        <v>24</v>
      </c>
      <c r="C8" s="216">
        <v>0.1</v>
      </c>
      <c r="D8" s="56" t="s">
        <v>25</v>
      </c>
      <c r="E8" s="56"/>
      <c r="F8" s="56"/>
      <c r="G8" s="56"/>
      <c r="H8" s="56"/>
      <c r="I8" s="51"/>
      <c r="J8" s="51"/>
    </row>
    <row r="9" spans="1:10" ht="19.5" customHeight="1">
      <c r="A9" s="51"/>
      <c r="B9" s="228"/>
      <c r="C9" s="217"/>
      <c r="D9" s="51"/>
      <c r="E9" s="51"/>
      <c r="F9" s="218"/>
      <c r="G9" s="218"/>
      <c r="H9" s="51"/>
      <c r="I9" s="210"/>
      <c r="J9" s="210"/>
    </row>
    <row r="10" spans="1:10" ht="19.5" customHeight="1">
      <c r="A10" s="51"/>
      <c r="B10" s="228"/>
      <c r="C10" s="218" t="s">
        <v>35</v>
      </c>
      <c r="D10" s="218"/>
      <c r="E10" s="51"/>
      <c r="F10" s="218" t="s">
        <v>26</v>
      </c>
      <c r="G10" s="218"/>
      <c r="H10" s="51"/>
      <c r="I10" s="218" t="s">
        <v>36</v>
      </c>
      <c r="J10" s="218"/>
    </row>
    <row r="11" spans="1:10" ht="19.5" customHeight="1">
      <c r="A11" s="51"/>
      <c r="B11" s="228"/>
      <c r="C11" s="219" t="s">
        <v>26</v>
      </c>
      <c r="D11" s="219"/>
      <c r="E11" s="51"/>
      <c r="F11" s="219" t="s">
        <v>27</v>
      </c>
      <c r="G11" s="219"/>
      <c r="H11" s="51"/>
      <c r="I11" s="219" t="s">
        <v>37</v>
      </c>
      <c r="J11" s="219"/>
    </row>
    <row r="12" spans="1:10" ht="19.5" customHeight="1">
      <c r="A12" s="51"/>
      <c r="B12" s="51"/>
      <c r="C12" s="230"/>
      <c r="D12" s="230"/>
      <c r="E12" s="230"/>
      <c r="F12" s="230"/>
      <c r="G12" s="230"/>
      <c r="H12" s="51"/>
      <c r="I12" s="230"/>
      <c r="J12" s="230"/>
    </row>
    <row r="13" spans="1:11" ht="19.5" customHeight="1">
      <c r="A13" s="51"/>
      <c r="B13" s="51" t="s">
        <v>28</v>
      </c>
      <c r="C13" s="211">
        <v>130000</v>
      </c>
      <c r="D13" s="231" t="s">
        <v>31</v>
      </c>
      <c r="E13" s="232"/>
      <c r="F13" s="211">
        <f aca="true" t="shared" si="0" ref="F13:F18">+C13*$C$8</f>
        <v>13000</v>
      </c>
      <c r="G13" s="231" t="s">
        <v>31</v>
      </c>
      <c r="H13" s="51"/>
      <c r="I13" s="211">
        <f aca="true" t="shared" si="1" ref="I13:I18">+C13+F13</f>
        <v>143000</v>
      </c>
      <c r="J13" s="231" t="s">
        <v>31</v>
      </c>
      <c r="K13" s="5"/>
    </row>
    <row r="14" spans="1:11" ht="19.5" customHeight="1">
      <c r="A14" s="51"/>
      <c r="B14" s="51" t="s">
        <v>29</v>
      </c>
      <c r="C14" s="233">
        <v>225000</v>
      </c>
      <c r="D14" s="234" t="s">
        <v>31</v>
      </c>
      <c r="E14" s="235"/>
      <c r="F14" s="233">
        <f t="shared" si="0"/>
        <v>22500</v>
      </c>
      <c r="G14" s="234" t="s">
        <v>31</v>
      </c>
      <c r="H14" s="51"/>
      <c r="I14" s="233">
        <f t="shared" si="1"/>
        <v>247500</v>
      </c>
      <c r="J14" s="234" t="s">
        <v>31</v>
      </c>
      <c r="K14" s="5"/>
    </row>
    <row r="15" spans="1:11" ht="19.5" customHeight="1">
      <c r="A15" s="51"/>
      <c r="B15" s="51" t="s">
        <v>21</v>
      </c>
      <c r="C15" s="236">
        <v>165</v>
      </c>
      <c r="D15" s="234" t="s">
        <v>32</v>
      </c>
      <c r="E15" s="235"/>
      <c r="F15" s="236">
        <f t="shared" si="0"/>
        <v>16.5</v>
      </c>
      <c r="G15" s="234" t="s">
        <v>32</v>
      </c>
      <c r="H15" s="51"/>
      <c r="I15" s="236">
        <f t="shared" si="1"/>
        <v>181.5</v>
      </c>
      <c r="J15" s="234" t="s">
        <v>32</v>
      </c>
      <c r="K15" s="5"/>
    </row>
    <row r="16" spans="1:11" ht="19.5" customHeight="1">
      <c r="A16" s="51"/>
      <c r="B16" s="51" t="s">
        <v>140</v>
      </c>
      <c r="C16" s="236">
        <v>185</v>
      </c>
      <c r="D16" s="234" t="s">
        <v>32</v>
      </c>
      <c r="E16" s="235"/>
      <c r="F16" s="236">
        <f t="shared" si="0"/>
        <v>18.5</v>
      </c>
      <c r="G16" s="234" t="s">
        <v>32</v>
      </c>
      <c r="H16" s="51"/>
      <c r="I16" s="236">
        <f t="shared" si="1"/>
        <v>203.5</v>
      </c>
      <c r="J16" s="234" t="s">
        <v>32</v>
      </c>
      <c r="K16" s="5"/>
    </row>
    <row r="17" spans="1:11" ht="19.5" customHeight="1">
      <c r="A17" s="51"/>
      <c r="B17" s="51" t="s">
        <v>22</v>
      </c>
      <c r="C17" s="233">
        <v>175000</v>
      </c>
      <c r="D17" s="234" t="s">
        <v>33</v>
      </c>
      <c r="E17" s="235"/>
      <c r="F17" s="233">
        <f t="shared" si="0"/>
        <v>17500</v>
      </c>
      <c r="G17" s="234" t="s">
        <v>33</v>
      </c>
      <c r="H17" s="51"/>
      <c r="I17" s="233">
        <f t="shared" si="1"/>
        <v>192500</v>
      </c>
      <c r="J17" s="234" t="s">
        <v>33</v>
      </c>
      <c r="K17" s="5"/>
    </row>
    <row r="18" spans="1:11" ht="19.5" customHeight="1">
      <c r="A18" s="53"/>
      <c r="B18" s="53" t="s">
        <v>23</v>
      </c>
      <c r="C18" s="237">
        <v>16000</v>
      </c>
      <c r="D18" s="238" t="s">
        <v>34</v>
      </c>
      <c r="E18" s="239"/>
      <c r="F18" s="237">
        <f t="shared" si="0"/>
        <v>1600</v>
      </c>
      <c r="G18" s="238" t="s">
        <v>34</v>
      </c>
      <c r="H18" s="53"/>
      <c r="I18" s="237">
        <f t="shared" si="1"/>
        <v>17600</v>
      </c>
      <c r="J18" s="238" t="s">
        <v>34</v>
      </c>
      <c r="K18" s="5"/>
    </row>
    <row r="19" spans="1:10" s="4" customFormat="1" ht="19.5" customHeight="1">
      <c r="A19" s="40"/>
      <c r="B19" s="220"/>
      <c r="C19" s="221"/>
      <c r="D19" s="222"/>
      <c r="E19" s="222"/>
      <c r="F19" s="223"/>
      <c r="G19" s="223"/>
      <c r="H19" s="224"/>
      <c r="I19" s="224"/>
      <c r="J19" s="224"/>
    </row>
    <row r="20" spans="1:10" s="4" customFormat="1" ht="19.5" customHeight="1">
      <c r="A20" s="40"/>
      <c r="B20" s="220"/>
      <c r="C20" s="221"/>
      <c r="D20" s="222"/>
      <c r="E20" s="222"/>
      <c r="F20" s="223"/>
      <c r="G20" s="223"/>
      <c r="H20" s="224"/>
      <c r="I20" s="224"/>
      <c r="J20" s="224"/>
    </row>
    <row r="21" spans="1:10" ht="19.5" customHeight="1">
      <c r="A21" s="48"/>
      <c r="B21" s="227" t="s">
        <v>132</v>
      </c>
      <c r="C21" s="48"/>
      <c r="D21" s="48"/>
      <c r="E21" s="48"/>
      <c r="F21" s="48"/>
      <c r="G21" s="48"/>
      <c r="H21" s="48"/>
      <c r="I21" s="48"/>
      <c r="J21" s="48"/>
    </row>
    <row r="22" spans="1:10" ht="19.5" customHeight="1">
      <c r="A22" s="51"/>
      <c r="B22" s="226"/>
      <c r="C22" s="51"/>
      <c r="D22" s="51"/>
      <c r="E22" s="51"/>
      <c r="F22" s="51"/>
      <c r="G22" s="51"/>
      <c r="H22" s="51"/>
      <c r="I22" s="51"/>
      <c r="J22" s="51"/>
    </row>
    <row r="23" spans="1:10" ht="19.5" customHeight="1">
      <c r="A23" s="51"/>
      <c r="B23" s="56" t="s">
        <v>53</v>
      </c>
      <c r="C23" s="217"/>
      <c r="D23" s="51"/>
      <c r="E23" s="51"/>
      <c r="F23" s="51"/>
      <c r="G23" s="51"/>
      <c r="H23" s="51"/>
      <c r="I23" s="51"/>
      <c r="J23" s="51"/>
    </row>
    <row r="24" spans="1:10" ht="19.5" customHeight="1">
      <c r="A24" s="51"/>
      <c r="B24" s="51" t="s">
        <v>38</v>
      </c>
      <c r="C24" s="240">
        <v>2800</v>
      </c>
      <c r="D24" s="51" t="s">
        <v>40</v>
      </c>
      <c r="E24" s="51"/>
      <c r="F24" s="51"/>
      <c r="G24" s="51"/>
      <c r="H24" s="51"/>
      <c r="I24" s="51"/>
      <c r="J24" s="51"/>
    </row>
    <row r="25" spans="1:10" ht="19.5" customHeight="1">
      <c r="A25" s="51"/>
      <c r="B25" s="51" t="s">
        <v>39</v>
      </c>
      <c r="C25" s="241">
        <v>55</v>
      </c>
      <c r="D25" s="51" t="s">
        <v>40</v>
      </c>
      <c r="E25" s="51"/>
      <c r="F25" s="51"/>
      <c r="G25" s="51"/>
      <c r="H25" s="51"/>
      <c r="I25" s="51"/>
      <c r="J25" s="51"/>
    </row>
    <row r="26" spans="1:10" ht="19.5" customHeight="1">
      <c r="A26" s="51"/>
      <c r="B26" s="51" t="s">
        <v>41</v>
      </c>
      <c r="C26" s="240">
        <f>+C24*C25</f>
        <v>154000</v>
      </c>
      <c r="D26" s="51" t="s">
        <v>30</v>
      </c>
      <c r="E26" s="51"/>
      <c r="F26" s="51"/>
      <c r="G26" s="51"/>
      <c r="H26" s="51"/>
      <c r="I26" s="51"/>
      <c r="J26" s="51"/>
    </row>
    <row r="27" spans="1:10" ht="19.5" customHeight="1">
      <c r="A27" s="51"/>
      <c r="B27" s="51"/>
      <c r="C27" s="240"/>
      <c r="D27" s="51"/>
      <c r="E27" s="51"/>
      <c r="F27" s="51"/>
      <c r="G27" s="51"/>
      <c r="H27" s="51"/>
      <c r="I27" s="51"/>
      <c r="J27" s="51"/>
    </row>
    <row r="28" spans="1:10" ht="19.5" customHeight="1">
      <c r="A28" s="51"/>
      <c r="B28" s="51" t="s">
        <v>42</v>
      </c>
      <c r="C28" s="242">
        <v>70</v>
      </c>
      <c r="D28" s="51"/>
      <c r="E28" s="51"/>
      <c r="F28" s="51"/>
      <c r="G28" s="51"/>
      <c r="H28" s="51"/>
      <c r="I28" s="51"/>
      <c r="J28" s="51"/>
    </row>
    <row r="29" spans="1:10" ht="19.5" customHeight="1">
      <c r="A29" s="51"/>
      <c r="B29" s="51" t="s">
        <v>47</v>
      </c>
      <c r="C29" s="243">
        <f>+C26*C28</f>
        <v>10780000</v>
      </c>
      <c r="D29" s="51"/>
      <c r="E29" s="51"/>
      <c r="F29" s="51"/>
      <c r="G29" s="51"/>
      <c r="H29" s="51"/>
      <c r="I29" s="51"/>
      <c r="J29" s="51"/>
    </row>
    <row r="30" spans="1:10" ht="19.5" customHeight="1">
      <c r="A30" s="51"/>
      <c r="B30" s="51"/>
      <c r="C30" s="51"/>
      <c r="D30" s="51"/>
      <c r="E30" s="51"/>
      <c r="F30" s="51"/>
      <c r="G30" s="51"/>
      <c r="H30" s="51"/>
      <c r="I30" s="51"/>
      <c r="J30" s="51"/>
    </row>
    <row r="31" spans="1:10" ht="19.5" customHeight="1">
      <c r="A31" s="51"/>
      <c r="B31" s="56" t="s">
        <v>46</v>
      </c>
      <c r="C31" s="217"/>
      <c r="D31" s="51"/>
      <c r="E31" s="51"/>
      <c r="F31" s="51"/>
      <c r="G31" s="51"/>
      <c r="H31" s="51"/>
      <c r="I31" s="51"/>
      <c r="J31" s="51"/>
    </row>
    <row r="32" spans="1:10" ht="19.5" customHeight="1">
      <c r="A32" s="51"/>
      <c r="B32" s="51" t="s">
        <v>138</v>
      </c>
      <c r="C32" s="243">
        <v>4000000</v>
      </c>
      <c r="D32" s="51"/>
      <c r="E32" s="51"/>
      <c r="F32" s="51"/>
      <c r="G32" s="51"/>
      <c r="H32" s="51"/>
      <c r="I32" s="51"/>
      <c r="J32" s="51"/>
    </row>
    <row r="33" spans="1:10" ht="19.5" customHeight="1">
      <c r="A33" s="51"/>
      <c r="B33" s="51"/>
      <c r="C33" s="51"/>
      <c r="D33" s="51"/>
      <c r="E33" s="51"/>
      <c r="F33" s="51"/>
      <c r="G33" s="51"/>
      <c r="H33" s="51"/>
      <c r="I33" s="51"/>
      <c r="J33" s="51"/>
    </row>
    <row r="34" spans="1:10" ht="19.5" customHeight="1">
      <c r="A34" s="53"/>
      <c r="B34" s="54" t="s">
        <v>43</v>
      </c>
      <c r="C34" s="244">
        <f>+C29+C32</f>
        <v>14780000</v>
      </c>
      <c r="D34" s="53"/>
      <c r="E34" s="53"/>
      <c r="F34" s="53"/>
      <c r="G34" s="53"/>
      <c r="H34" s="53"/>
      <c r="I34" s="53"/>
      <c r="J34" s="53"/>
    </row>
    <row r="35" spans="1:10" ht="19.5" customHeight="1">
      <c r="A35" s="19"/>
      <c r="B35" s="19"/>
      <c r="C35" s="143"/>
      <c r="D35" s="19"/>
      <c r="E35" s="19"/>
      <c r="F35" s="19"/>
      <c r="G35" s="19"/>
      <c r="H35" s="19"/>
      <c r="I35" s="19"/>
      <c r="J35" s="19"/>
    </row>
    <row r="36" spans="1:10" ht="19.5" customHeight="1">
      <c r="A36" s="19"/>
      <c r="B36" s="19"/>
      <c r="C36" s="19"/>
      <c r="D36" s="19"/>
      <c r="E36" s="19"/>
      <c r="F36" s="19"/>
      <c r="G36" s="19"/>
      <c r="H36" s="19"/>
      <c r="I36" s="19"/>
      <c r="J36" s="19"/>
    </row>
    <row r="37" spans="1:10" ht="19.5" customHeight="1" thickBot="1">
      <c r="A37" s="115" t="s">
        <v>145</v>
      </c>
      <c r="B37" s="115"/>
      <c r="C37" s="115"/>
      <c r="D37" s="115"/>
      <c r="E37" s="115"/>
      <c r="F37" s="115"/>
      <c r="G37" s="115"/>
      <c r="H37" s="115"/>
      <c r="I37" s="115"/>
      <c r="J37" s="115"/>
    </row>
    <row r="38" spans="1:10" ht="19.5" customHeight="1" thickTop="1">
      <c r="A38" s="118"/>
      <c r="B38" s="118"/>
      <c r="C38" s="118"/>
      <c r="D38" s="118"/>
      <c r="E38" s="118"/>
      <c r="F38" s="118"/>
      <c r="G38" s="118"/>
      <c r="H38" s="118"/>
      <c r="I38" s="118"/>
      <c r="J38" s="118"/>
    </row>
    <row r="39" spans="1:10" ht="19.5" customHeight="1">
      <c r="A39" s="118"/>
      <c r="B39" s="118"/>
      <c r="C39" s="118"/>
      <c r="D39" s="118"/>
      <c r="E39" s="118"/>
      <c r="F39" s="118"/>
      <c r="G39" s="118"/>
      <c r="H39" s="118"/>
      <c r="I39" s="118"/>
      <c r="J39" s="118"/>
    </row>
  </sheetData>
  <printOptions horizontalCentered="1"/>
  <pageMargins left="0.75" right="0.75" top="0.75" bottom="0.5" header="0.5" footer="0.5"/>
  <pageSetup fitToHeight="1" fitToWidth="1" horizontalDpi="600" verticalDpi="600" orientation="portrait" scale="72" r:id="rId1"/>
</worksheet>
</file>

<file path=xl/worksheets/sheet4.xml><?xml version="1.0" encoding="utf-8"?>
<worksheet xmlns="http://schemas.openxmlformats.org/spreadsheetml/2006/main" xmlns:r="http://schemas.openxmlformats.org/officeDocument/2006/relationships">
  <sheetPr>
    <pageSetUpPr fitToPage="1"/>
  </sheetPr>
  <dimension ref="A1:E18"/>
  <sheetViews>
    <sheetView zoomScale="75" zoomScaleNormal="75" workbookViewId="0" topLeftCell="A1">
      <selection activeCell="A1" sqref="A1"/>
    </sheetView>
  </sheetViews>
  <sheetFormatPr defaultColWidth="9.00390625" defaultRowHeight="15.75"/>
  <cols>
    <col min="1" max="1" width="3.125" style="0" customWidth="1"/>
    <col min="2" max="2" width="37.375" style="0" customWidth="1"/>
    <col min="3" max="3" width="15.125" style="2" bestFit="1" customWidth="1"/>
    <col min="4" max="4" width="13.875" style="2" customWidth="1"/>
  </cols>
  <sheetData>
    <row r="1" spans="1:5" ht="18.75" thickTop="1">
      <c r="A1" s="113" t="s">
        <v>101</v>
      </c>
      <c r="B1" s="116"/>
      <c r="C1" s="201"/>
      <c r="D1" s="201"/>
      <c r="E1" s="15"/>
    </row>
    <row r="2" spans="1:5" ht="18">
      <c r="A2" s="13" t="s">
        <v>97</v>
      </c>
      <c r="C2" s="73"/>
      <c r="D2" s="73"/>
      <c r="E2" s="15"/>
    </row>
    <row r="3" spans="1:5" ht="18">
      <c r="A3" s="12" t="s">
        <v>129</v>
      </c>
      <c r="C3" s="73"/>
      <c r="D3" s="73"/>
      <c r="E3" s="15"/>
    </row>
    <row r="4" spans="2:5" ht="15.75">
      <c r="B4" s="15"/>
      <c r="C4" s="73"/>
      <c r="D4" s="73"/>
      <c r="E4" s="15"/>
    </row>
    <row r="5" spans="1:5" ht="19.5" customHeight="1">
      <c r="A5" s="118"/>
      <c r="B5" s="19"/>
      <c r="C5" s="202"/>
      <c r="D5" s="202"/>
      <c r="E5" s="15"/>
    </row>
    <row r="6" spans="1:5" ht="19.5" customHeight="1">
      <c r="A6" s="156"/>
      <c r="B6" s="48"/>
      <c r="C6" s="76" t="s">
        <v>130</v>
      </c>
      <c r="D6" s="76" t="s">
        <v>49</v>
      </c>
      <c r="E6" s="15"/>
    </row>
    <row r="7" spans="1:5" ht="19.5" customHeight="1">
      <c r="A7" s="118"/>
      <c r="B7" s="19"/>
      <c r="C7" s="206"/>
      <c r="D7" s="206"/>
      <c r="E7" s="15"/>
    </row>
    <row r="8" spans="1:5" ht="19.5" customHeight="1">
      <c r="A8" s="122"/>
      <c r="B8" s="51" t="str">
        <f>+'Development Costs'!B13</f>
        <v>Rental Housing</v>
      </c>
      <c r="C8" s="213">
        <f>+'Rental Housing'!D9*'Rental Housing'!D10</f>
        <v>450000</v>
      </c>
      <c r="D8" s="207">
        <f>+C8/$C$14</f>
        <v>0.16453382084095064</v>
      </c>
      <c r="E8" s="15"/>
    </row>
    <row r="9" spans="1:5" ht="19.5" customHeight="1">
      <c r="A9" s="122"/>
      <c r="B9" s="51" t="str">
        <f>+'Development Costs'!B14</f>
        <v>For-sale Housing</v>
      </c>
      <c r="C9" s="213">
        <f>+'For-sale housing'!D10*'For-sale housing'!D11</f>
        <v>160000</v>
      </c>
      <c r="D9" s="207">
        <f aca="true" t="shared" si="0" ref="D9:D14">+C9/$C$14</f>
        <v>0.05850091407678245</v>
      </c>
      <c r="E9" s="15"/>
    </row>
    <row r="10" spans="1:5" ht="19.5" customHeight="1">
      <c r="A10" s="122"/>
      <c r="B10" s="51" t="str">
        <f>+'Development Costs'!B15</f>
        <v>Office/Commercial</v>
      </c>
      <c r="C10" s="213">
        <f>+'Development Program'!C12</f>
        <v>750000</v>
      </c>
      <c r="D10" s="207">
        <f t="shared" si="0"/>
        <v>0.2742230347349177</v>
      </c>
      <c r="E10" s="15"/>
    </row>
    <row r="11" spans="1:5" ht="19.5" customHeight="1">
      <c r="A11" s="122"/>
      <c r="B11" s="51" t="str">
        <f>+'Development Costs'!B16</f>
        <v>Retail</v>
      </c>
      <c r="C11" s="213">
        <f>+'Development Program'!C13</f>
        <v>250000</v>
      </c>
      <c r="D11" s="207">
        <f t="shared" si="0"/>
        <v>0.09140767824497258</v>
      </c>
      <c r="E11" s="15"/>
    </row>
    <row r="12" spans="1:5" ht="19.5" customHeight="1">
      <c r="A12" s="122"/>
      <c r="B12" s="51" t="str">
        <f>+'Development Costs'!B17</f>
        <v>Hotel</v>
      </c>
      <c r="C12" s="213">
        <f>+'Development Program'!C14*500</f>
        <v>150000</v>
      </c>
      <c r="D12" s="207">
        <f t="shared" si="0"/>
        <v>0.054844606946983544</v>
      </c>
      <c r="E12" s="15"/>
    </row>
    <row r="13" spans="1:5" ht="19.5" customHeight="1">
      <c r="A13" s="122"/>
      <c r="B13" s="51" t="str">
        <f>+'Development Costs'!B18</f>
        <v>Structured Parking</v>
      </c>
      <c r="C13" s="214">
        <f>+'Development Program'!C15*325</f>
        <v>975000</v>
      </c>
      <c r="D13" s="208">
        <f t="shared" si="0"/>
        <v>0.35648994515539306</v>
      </c>
      <c r="E13" s="15"/>
    </row>
    <row r="14" spans="1:5" ht="19.5" customHeight="1">
      <c r="A14" s="164"/>
      <c r="B14" s="209" t="s">
        <v>48</v>
      </c>
      <c r="C14" s="215">
        <f>SUM(C8:C13)</f>
        <v>2735000</v>
      </c>
      <c r="D14" s="212">
        <f t="shared" si="0"/>
        <v>1</v>
      </c>
      <c r="E14" s="15"/>
    </row>
    <row r="15" spans="1:5" ht="19.5" customHeight="1">
      <c r="A15" s="118"/>
      <c r="B15" s="19"/>
      <c r="C15" s="203"/>
      <c r="D15" s="204"/>
      <c r="E15" s="15"/>
    </row>
    <row r="16" spans="1:5" ht="19.5" customHeight="1">
      <c r="A16" s="118"/>
      <c r="B16" s="19"/>
      <c r="C16" s="202"/>
      <c r="D16" s="202"/>
      <c r="E16" s="15"/>
    </row>
    <row r="17" spans="1:5" ht="19.5" customHeight="1" thickBot="1">
      <c r="A17" s="115" t="s">
        <v>145</v>
      </c>
      <c r="B17" s="115"/>
      <c r="C17" s="115"/>
      <c r="D17" s="115"/>
      <c r="E17" s="15"/>
    </row>
    <row r="18" spans="1:4" ht="19.5" customHeight="1" thickTop="1">
      <c r="A18" s="118"/>
      <c r="B18" s="118"/>
      <c r="C18" s="205"/>
      <c r="D18" s="205"/>
    </row>
  </sheetData>
  <printOptions/>
  <pageMargins left="0.75" right="0.75" top="1" bottom="1" header="0.5" footer="0.5"/>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T33"/>
  <sheetViews>
    <sheetView zoomScale="75" zoomScaleNormal="75" workbookViewId="0" topLeftCell="A1">
      <selection activeCell="A1" sqref="A1"/>
    </sheetView>
  </sheetViews>
  <sheetFormatPr defaultColWidth="9.00390625" defaultRowHeight="15.75"/>
  <cols>
    <col min="1" max="1" width="3.125" style="0" customWidth="1"/>
    <col min="2" max="2" width="3.875" style="0" customWidth="1"/>
    <col min="3" max="3" width="22.00390625" style="0" customWidth="1"/>
    <col min="4" max="4" width="8.125" style="0" bestFit="1" customWidth="1"/>
    <col min="5" max="5" width="11.625" style="0" bestFit="1" customWidth="1"/>
    <col min="6" max="6" width="6.75390625" style="0" customWidth="1"/>
    <col min="8" max="9" width="6.75390625" style="0" customWidth="1"/>
    <col min="10" max="10" width="12.75390625" style="0" bestFit="1" customWidth="1"/>
    <col min="11" max="13" width="6.75390625" style="0" customWidth="1"/>
    <col min="14" max="14" width="7.75390625" style="0" customWidth="1"/>
    <col min="15" max="15" width="10.50390625" style="0" bestFit="1" customWidth="1"/>
    <col min="16" max="19" width="7.75390625" style="0" customWidth="1"/>
  </cols>
  <sheetData>
    <row r="1" spans="1:19" ht="18.75" thickTop="1">
      <c r="A1" s="113" t="s">
        <v>102</v>
      </c>
      <c r="B1" s="116"/>
      <c r="C1" s="116"/>
      <c r="D1" s="116"/>
      <c r="E1" s="116"/>
      <c r="F1" s="116"/>
      <c r="G1" s="116"/>
      <c r="H1" s="116"/>
      <c r="I1" s="116"/>
      <c r="J1" s="116"/>
      <c r="K1" s="116"/>
      <c r="L1" s="116"/>
      <c r="M1" s="116"/>
      <c r="N1" s="116"/>
      <c r="O1" s="116"/>
      <c r="P1" s="116"/>
      <c r="Q1" s="116"/>
      <c r="R1" s="116"/>
      <c r="S1" s="116"/>
    </row>
    <row r="2" ht="18">
      <c r="A2" s="13" t="s">
        <v>97</v>
      </c>
    </row>
    <row r="3" ht="18">
      <c r="A3" s="12" t="s">
        <v>54</v>
      </c>
    </row>
    <row r="4" ht="18">
      <c r="A4" s="12" t="s">
        <v>92</v>
      </c>
    </row>
    <row r="5" spans="1:4" ht="15.75">
      <c r="A5" s="50" t="s">
        <v>115</v>
      </c>
      <c r="D5" s="141">
        <v>0.03</v>
      </c>
    </row>
    <row r="6" ht="15" customHeight="1" thickBot="1">
      <c r="B6" s="1"/>
    </row>
    <row r="7" spans="2:19" s="118" customFormat="1" ht="19.5" customHeight="1">
      <c r="B7" s="19"/>
      <c r="C7" s="19"/>
      <c r="D7" s="19"/>
      <c r="E7" s="276" t="s">
        <v>50</v>
      </c>
      <c r="F7" s="277"/>
      <c r="G7" s="277"/>
      <c r="H7" s="277"/>
      <c r="I7" s="278"/>
      <c r="J7" s="279" t="s">
        <v>51</v>
      </c>
      <c r="K7" s="279"/>
      <c r="L7" s="279"/>
      <c r="M7" s="279"/>
      <c r="N7" s="279"/>
      <c r="O7" s="280" t="s">
        <v>52</v>
      </c>
      <c r="P7" s="280"/>
      <c r="Q7" s="280"/>
      <c r="R7" s="280"/>
      <c r="S7" s="280"/>
    </row>
    <row r="8" spans="1:19" s="151" customFormat="1" ht="19.5" customHeight="1">
      <c r="A8" s="150"/>
      <c r="B8" s="48"/>
      <c r="C8" s="48"/>
      <c r="D8" s="76"/>
      <c r="E8" s="176" t="s">
        <v>3</v>
      </c>
      <c r="F8" s="76" t="s">
        <v>4</v>
      </c>
      <c r="G8" s="76" t="s">
        <v>5</v>
      </c>
      <c r="H8" s="76" t="s">
        <v>6</v>
      </c>
      <c r="I8" s="177" t="s">
        <v>7</v>
      </c>
      <c r="J8" s="176" t="s">
        <v>8</v>
      </c>
      <c r="K8" s="76" t="s">
        <v>9</v>
      </c>
      <c r="L8" s="76" t="s">
        <v>10</v>
      </c>
      <c r="M8" s="76" t="s">
        <v>11</v>
      </c>
      <c r="N8" s="177" t="s">
        <v>12</v>
      </c>
      <c r="O8" s="176" t="s">
        <v>13</v>
      </c>
      <c r="P8" s="76" t="s">
        <v>14</v>
      </c>
      <c r="Q8" s="76" t="s">
        <v>15</v>
      </c>
      <c r="R8" s="76" t="s">
        <v>16</v>
      </c>
      <c r="S8" s="177" t="s">
        <v>17</v>
      </c>
    </row>
    <row r="9" spans="1:19" s="142" customFormat="1" ht="19.5" customHeight="1">
      <c r="A9" s="152"/>
      <c r="B9" s="153"/>
      <c r="C9" s="154" t="s">
        <v>55</v>
      </c>
      <c r="D9" s="155"/>
      <c r="E9" s="178">
        <f>1*(1+D5)</f>
        <v>1.03</v>
      </c>
      <c r="F9" s="155">
        <f>+E9*(1+$D$5)</f>
        <v>1.0609</v>
      </c>
      <c r="G9" s="155">
        <f aca="true" t="shared" si="0" ref="G9:S9">+F9*(1+$D$5)</f>
        <v>1.092727</v>
      </c>
      <c r="H9" s="155">
        <f t="shared" si="0"/>
        <v>1.1255088100000001</v>
      </c>
      <c r="I9" s="179">
        <f t="shared" si="0"/>
        <v>1.1592740743</v>
      </c>
      <c r="J9" s="178">
        <f t="shared" si="0"/>
        <v>1.1940522965290001</v>
      </c>
      <c r="K9" s="155">
        <f t="shared" si="0"/>
        <v>1.2298738654248702</v>
      </c>
      <c r="L9" s="155">
        <f t="shared" si="0"/>
        <v>1.2667700813876164</v>
      </c>
      <c r="M9" s="155">
        <f t="shared" si="0"/>
        <v>1.304773183829245</v>
      </c>
      <c r="N9" s="179">
        <f t="shared" si="0"/>
        <v>1.3439163793441222</v>
      </c>
      <c r="O9" s="178">
        <f t="shared" si="0"/>
        <v>1.384233870724446</v>
      </c>
      <c r="P9" s="155">
        <f t="shared" si="0"/>
        <v>1.4257608868461793</v>
      </c>
      <c r="Q9" s="155">
        <f t="shared" si="0"/>
        <v>1.4685337134515648</v>
      </c>
      <c r="R9" s="155">
        <f t="shared" si="0"/>
        <v>1.512589724855112</v>
      </c>
      <c r="S9" s="179">
        <f t="shared" si="0"/>
        <v>1.5579674166007653</v>
      </c>
    </row>
    <row r="10" spans="2:19" s="118" customFormat="1" ht="19.5" customHeight="1">
      <c r="B10" s="19"/>
      <c r="C10" s="19"/>
      <c r="D10" s="19"/>
      <c r="E10" s="180"/>
      <c r="F10" s="51"/>
      <c r="G10" s="51"/>
      <c r="H10" s="51"/>
      <c r="I10" s="181"/>
      <c r="J10" s="180"/>
      <c r="K10" s="51"/>
      <c r="L10" s="51"/>
      <c r="M10" s="51"/>
      <c r="N10" s="181"/>
      <c r="O10" s="180"/>
      <c r="P10" s="51"/>
      <c r="Q10" s="51"/>
      <c r="R10" s="51"/>
      <c r="S10" s="181"/>
    </row>
    <row r="11" spans="1:19" s="122" customFormat="1" ht="19.5" customHeight="1">
      <c r="A11" s="156"/>
      <c r="B11" s="68" t="s">
        <v>53</v>
      </c>
      <c r="C11" s="48"/>
      <c r="D11" s="48"/>
      <c r="E11" s="182"/>
      <c r="F11" s="48"/>
      <c r="G11" s="48"/>
      <c r="H11" s="48"/>
      <c r="I11" s="183"/>
      <c r="J11" s="182"/>
      <c r="K11" s="48"/>
      <c r="L11" s="48"/>
      <c r="M11" s="48"/>
      <c r="N11" s="183"/>
      <c r="O11" s="182"/>
      <c r="P11" s="48"/>
      <c r="Q11" s="48"/>
      <c r="R11" s="48"/>
      <c r="S11" s="183"/>
    </row>
    <row r="12" spans="1:19" s="118" customFormat="1" ht="19.5" customHeight="1">
      <c r="A12" s="122"/>
      <c r="B12" s="51" t="str">
        <f>+'Development Program'!B10</f>
        <v>Rental Housing</v>
      </c>
      <c r="C12" s="51"/>
      <c r="D12" s="37">
        <f>+'Infra Cost Distribution'!D8</f>
        <v>0.16453382084095064</v>
      </c>
      <c r="E12" s="184">
        <f>('Development Costs'!$C$34*('Development Program'!K19/'Development Program'!C19)*'Infrastructure Costs'!D12*'Infrastructure Costs'!$E$9)/1000</f>
        <v>2504.764168190128</v>
      </c>
      <c r="F12" s="158">
        <v>0</v>
      </c>
      <c r="G12" s="158">
        <v>0</v>
      </c>
      <c r="H12" s="158">
        <v>0</v>
      </c>
      <c r="I12" s="185">
        <v>0</v>
      </c>
      <c r="J12" s="184">
        <f>((('Development Program'!P19-'Development Program'!K19)/'Development Program'!C19)*'Development Costs'!$C$34*'Infrastructure Costs'!D12*'Infrastructure Costs'!J$9)/1000</f>
        <v>0</v>
      </c>
      <c r="K12" s="158">
        <v>0</v>
      </c>
      <c r="L12" s="158">
        <v>0</v>
      </c>
      <c r="M12" s="158">
        <v>0</v>
      </c>
      <c r="N12" s="185">
        <v>0</v>
      </c>
      <c r="O12" s="184">
        <f>((('Development Program'!T19-'Development Program'!P19)/'Development Program'!C19)*'Development Costs'!$C$34*'Infrastructure Costs'!D12*'Infrastructure Costs'!O$9)/1000</f>
        <v>0</v>
      </c>
      <c r="P12" s="158">
        <v>0</v>
      </c>
      <c r="Q12" s="158">
        <v>0</v>
      </c>
      <c r="R12" s="158">
        <v>0</v>
      </c>
      <c r="S12" s="185">
        <v>0</v>
      </c>
    </row>
    <row r="13" spans="1:19" s="118" customFormat="1" ht="19.5" customHeight="1">
      <c r="A13" s="122"/>
      <c r="B13" s="51" t="str">
        <f>+'Development Program'!B11</f>
        <v>For-sale Housing</v>
      </c>
      <c r="C13" s="51"/>
      <c r="D13" s="37">
        <f>+'Infra Cost Distribution'!D9</f>
        <v>0.05850091407678245</v>
      </c>
      <c r="E13" s="186">
        <f>('Development Costs'!$C$34*('Development Program'!K20/'Development Program'!C20)*'Infrastructure Costs'!D13*'Infrastructure Costs'!$E$9)/1000</f>
        <v>890.5828153564898</v>
      </c>
      <c r="F13" s="160">
        <v>0</v>
      </c>
      <c r="G13" s="160">
        <v>0</v>
      </c>
      <c r="H13" s="160">
        <v>0</v>
      </c>
      <c r="I13" s="187">
        <v>0</v>
      </c>
      <c r="J13" s="186">
        <f>((('Development Program'!P20-'Development Program'!K20)/'Development Program'!C20)*'Development Costs'!$C$34*'Infrastructure Costs'!D13*'Infrastructure Costs'!J$9)/1000</f>
        <v>0</v>
      </c>
      <c r="K13" s="160">
        <v>0</v>
      </c>
      <c r="L13" s="160">
        <v>0</v>
      </c>
      <c r="M13" s="160">
        <v>0</v>
      </c>
      <c r="N13" s="187">
        <v>0</v>
      </c>
      <c r="O13" s="186">
        <f>((('Development Program'!T20-'Development Program'!P20)/'Development Program'!C20)*'Development Costs'!$C$34*'Infrastructure Costs'!D13*'Infrastructure Costs'!O$9)/1000</f>
        <v>0</v>
      </c>
      <c r="P13" s="160">
        <v>0</v>
      </c>
      <c r="Q13" s="160">
        <v>0</v>
      </c>
      <c r="R13" s="160">
        <v>0</v>
      </c>
      <c r="S13" s="187">
        <v>0</v>
      </c>
    </row>
    <row r="14" spans="1:19" s="118" customFormat="1" ht="19.5" customHeight="1">
      <c r="A14" s="122"/>
      <c r="B14" s="51" t="str">
        <f>+'Development Program'!B12</f>
        <v>Office/Commercial</v>
      </c>
      <c r="C14" s="51"/>
      <c r="D14" s="37">
        <f>+'Infra Cost Distribution'!D10</f>
        <v>0.2742230347349177</v>
      </c>
      <c r="E14" s="186">
        <f>('Development Costs'!$C$34*('Development Program'!K21/'Development Program'!C21)*'Infrastructure Costs'!D14*'Infrastructure Costs'!$E$9)/1000</f>
        <v>2226.457038391225</v>
      </c>
      <c r="F14" s="160">
        <v>0</v>
      </c>
      <c r="G14" s="160">
        <v>0</v>
      </c>
      <c r="H14" s="160">
        <v>0</v>
      </c>
      <c r="I14" s="187">
        <v>0</v>
      </c>
      <c r="J14" s="186">
        <f>((('Development Program'!P21-'Development Program'!K21)/'Development Program'!C21)*'Development Costs'!$C$34*'Infrastructure Costs'!D14*'Infrastructure Costs'!J$9)/1000</f>
        <v>2258.4396818809932</v>
      </c>
      <c r="K14" s="160">
        <v>0</v>
      </c>
      <c r="L14" s="160">
        <v>0</v>
      </c>
      <c r="M14" s="160">
        <v>0</v>
      </c>
      <c r="N14" s="187">
        <v>0</v>
      </c>
      <c r="O14" s="186">
        <f>((('Development Program'!T21-'Development Program'!P21)/'Development Program'!C21)*'Development Costs'!$C$34*'Infrastructure Costs'!D14*'Infrastructure Costs'!O$9)/1000</f>
        <v>0</v>
      </c>
      <c r="P14" s="160">
        <v>0</v>
      </c>
      <c r="Q14" s="160">
        <v>0</v>
      </c>
      <c r="R14" s="160">
        <v>0</v>
      </c>
      <c r="S14" s="187">
        <v>0</v>
      </c>
    </row>
    <row r="15" spans="1:19" s="118" customFormat="1" ht="19.5" customHeight="1">
      <c r="A15" s="122"/>
      <c r="B15" s="51" t="str">
        <f>+'Development Program'!B13</f>
        <v>Retail</v>
      </c>
      <c r="C15" s="51"/>
      <c r="D15" s="37">
        <f>+'Infra Cost Distribution'!D11</f>
        <v>0.09140767824497258</v>
      </c>
      <c r="E15" s="186">
        <f>('Development Costs'!$C$34*('Development Program'!K22/'Development Program'!C22)*'Infrastructure Costs'!D15*'Infrastructure Costs'!$E$9)/1000</f>
        <v>918.4135283363803</v>
      </c>
      <c r="F15" s="160">
        <v>0</v>
      </c>
      <c r="G15" s="160">
        <v>0</v>
      </c>
      <c r="H15" s="160">
        <v>0</v>
      </c>
      <c r="I15" s="187">
        <v>0</v>
      </c>
      <c r="J15" s="186">
        <f>((('Development Program'!P22-'Development Program'!K22)/'Development Program'!C22)*'Development Costs'!$C$34*'Infrastructure Costs'!D15*'Infrastructure Costs'!J$9)/1000</f>
        <v>548.4782084568128</v>
      </c>
      <c r="K15" s="160">
        <v>0</v>
      </c>
      <c r="L15" s="160">
        <v>0</v>
      </c>
      <c r="M15" s="160">
        <v>0</v>
      </c>
      <c r="N15" s="187">
        <v>0</v>
      </c>
      <c r="O15" s="186">
        <f>((('Development Program'!T22-'Development Program'!P22)/'Development Program'!C22)*'Development Costs'!$C$34*'Infrastructure Costs'!D15*'Infrastructure Costs'!O$9)/1000</f>
        <v>0</v>
      </c>
      <c r="P15" s="160">
        <v>0</v>
      </c>
      <c r="Q15" s="160">
        <v>0</v>
      </c>
      <c r="R15" s="160">
        <v>0</v>
      </c>
      <c r="S15" s="187">
        <v>0</v>
      </c>
    </row>
    <row r="16" spans="1:19" s="118" customFormat="1" ht="19.5" customHeight="1">
      <c r="A16" s="122"/>
      <c r="B16" s="51" t="str">
        <f>+'Development Program'!B14</f>
        <v>Hotel</v>
      </c>
      <c r="C16" s="51"/>
      <c r="D16" s="37">
        <f>+'Infra Cost Distribution'!D12</f>
        <v>0.054844606946983544</v>
      </c>
      <c r="E16" s="186">
        <f>('Development Costs'!$C$34*('Development Program'!K23/'Development Program'!C23)*'Infrastructure Costs'!D16*'Infrastructure Costs'!$E$9)/1000</f>
        <v>0</v>
      </c>
      <c r="F16" s="160">
        <v>0</v>
      </c>
      <c r="G16" s="160">
        <v>0</v>
      </c>
      <c r="H16" s="160">
        <v>0</v>
      </c>
      <c r="I16" s="187">
        <v>0</v>
      </c>
      <c r="J16" s="186">
        <f>((('Development Program'!P23-'Development Program'!K23)/'Development Program'!C23)*'Development Costs'!$C$34*'Infrastructure Costs'!D16*'Infrastructure Costs'!J$9)/1000</f>
        <v>967.9027208061401</v>
      </c>
      <c r="K16" s="160">
        <v>0</v>
      </c>
      <c r="L16" s="160">
        <v>0</v>
      </c>
      <c r="M16" s="160">
        <v>0</v>
      </c>
      <c r="N16" s="187">
        <v>0</v>
      </c>
      <c r="O16" s="186">
        <f>((('Development Program'!T23-'Development Program'!P23)/'Development Program'!C23)*'Development Costs'!$C$34*'Infrastructure Costs'!D16*'Infrastructure Costs'!O$9)/1000</f>
        <v>0</v>
      </c>
      <c r="P16" s="160">
        <v>0</v>
      </c>
      <c r="Q16" s="160">
        <v>0</v>
      </c>
      <c r="R16" s="160">
        <v>0</v>
      </c>
      <c r="S16" s="187">
        <v>0</v>
      </c>
    </row>
    <row r="17" spans="1:19" s="118" customFormat="1" ht="19.5" customHeight="1">
      <c r="A17" s="122"/>
      <c r="B17" s="51" t="str">
        <f>+'Development Program'!B15</f>
        <v>Structured Parking</v>
      </c>
      <c r="C17" s="51"/>
      <c r="D17" s="161">
        <f>+'Infra Cost Distribution'!D13</f>
        <v>0.35648994515539306</v>
      </c>
      <c r="E17" s="188">
        <f>('Development Costs'!$C$34*('Development Program'!K24/'Development Program'!C24)*'Infrastructure Costs'!D17*'Infrastructure Costs'!$E$9)/1000</f>
        <v>3066.248802559415</v>
      </c>
      <c r="F17" s="163">
        <v>0</v>
      </c>
      <c r="G17" s="163">
        <v>0</v>
      </c>
      <c r="H17" s="163">
        <v>0</v>
      </c>
      <c r="I17" s="189">
        <v>0</v>
      </c>
      <c r="J17" s="188">
        <f>((('Development Program'!P24-'Development Program'!K24)/'Development Program'!C24)*'Development Costs'!$C$34*'Infrastructure Costs'!D17*'Infrastructure Costs'!J$9)/1000</f>
        <v>2736.7449430793613</v>
      </c>
      <c r="K17" s="163">
        <v>0</v>
      </c>
      <c r="L17" s="163">
        <v>0</v>
      </c>
      <c r="M17" s="163">
        <v>0</v>
      </c>
      <c r="N17" s="189">
        <v>0</v>
      </c>
      <c r="O17" s="188">
        <f>((('Development Program'!T24-'Development Program'!P24)/'Development Program'!C24)*'Development Costs'!$C$34*'Infrastructure Costs'!D17*'Infrastructure Costs'!O$9)/1000</f>
        <v>0</v>
      </c>
      <c r="P17" s="163">
        <v>0</v>
      </c>
      <c r="Q17" s="163">
        <v>0</v>
      </c>
      <c r="R17" s="163">
        <v>0</v>
      </c>
      <c r="S17" s="189">
        <v>0</v>
      </c>
    </row>
    <row r="18" spans="1:19" s="118" customFormat="1" ht="19.5" customHeight="1">
      <c r="A18" s="164"/>
      <c r="B18" s="53" t="s">
        <v>47</v>
      </c>
      <c r="C18" s="53"/>
      <c r="D18" s="165">
        <f>SUM(D12:D17)</f>
        <v>1</v>
      </c>
      <c r="E18" s="190">
        <f aca="true" t="shared" si="1" ref="E18:S18">SUM(E12:E17)</f>
        <v>9606.466352833639</v>
      </c>
      <c r="F18" s="166">
        <f t="shared" si="1"/>
        <v>0</v>
      </c>
      <c r="G18" s="166">
        <f t="shared" si="1"/>
        <v>0</v>
      </c>
      <c r="H18" s="166">
        <f t="shared" si="1"/>
        <v>0</v>
      </c>
      <c r="I18" s="191">
        <f t="shared" si="1"/>
        <v>0</v>
      </c>
      <c r="J18" s="190">
        <f t="shared" si="1"/>
        <v>6511.565554223307</v>
      </c>
      <c r="K18" s="166">
        <f t="shared" si="1"/>
        <v>0</v>
      </c>
      <c r="L18" s="166">
        <f t="shared" si="1"/>
        <v>0</v>
      </c>
      <c r="M18" s="166">
        <f t="shared" si="1"/>
        <v>0</v>
      </c>
      <c r="N18" s="191">
        <f t="shared" si="1"/>
        <v>0</v>
      </c>
      <c r="O18" s="190">
        <f t="shared" si="1"/>
        <v>0</v>
      </c>
      <c r="P18" s="166">
        <f t="shared" si="1"/>
        <v>0</v>
      </c>
      <c r="Q18" s="166">
        <f t="shared" si="1"/>
        <v>0</v>
      </c>
      <c r="R18" s="166">
        <f t="shared" si="1"/>
        <v>0</v>
      </c>
      <c r="S18" s="191">
        <f t="shared" si="1"/>
        <v>0</v>
      </c>
    </row>
    <row r="19" spans="2:19" s="118" customFormat="1" ht="19.5" customHeight="1">
      <c r="B19" s="19"/>
      <c r="C19" s="19"/>
      <c r="D19" s="42"/>
      <c r="E19" s="192"/>
      <c r="F19" s="158"/>
      <c r="G19" s="158"/>
      <c r="H19" s="158"/>
      <c r="I19" s="185"/>
      <c r="J19" s="192"/>
      <c r="K19" s="158"/>
      <c r="L19" s="158"/>
      <c r="M19" s="158"/>
      <c r="N19" s="185"/>
      <c r="O19" s="192"/>
      <c r="P19" s="158"/>
      <c r="Q19" s="158"/>
      <c r="R19" s="158"/>
      <c r="S19" s="185"/>
    </row>
    <row r="20" spans="2:19" s="118" customFormat="1" ht="19.5" customHeight="1">
      <c r="B20" s="19"/>
      <c r="C20" s="19"/>
      <c r="D20" s="42"/>
      <c r="E20" s="192"/>
      <c r="F20" s="158"/>
      <c r="G20" s="158"/>
      <c r="H20" s="158"/>
      <c r="I20" s="185"/>
      <c r="J20" s="192"/>
      <c r="K20" s="158"/>
      <c r="L20" s="158"/>
      <c r="M20" s="158"/>
      <c r="N20" s="185"/>
      <c r="O20" s="192"/>
      <c r="P20" s="158"/>
      <c r="Q20" s="158"/>
      <c r="R20" s="158"/>
      <c r="S20" s="185"/>
    </row>
    <row r="21" spans="1:19" s="122" customFormat="1" ht="19.5" customHeight="1">
      <c r="A21" s="156"/>
      <c r="B21" s="68" t="s">
        <v>128</v>
      </c>
      <c r="C21" s="48"/>
      <c r="D21" s="48"/>
      <c r="E21" s="182"/>
      <c r="F21" s="48"/>
      <c r="G21" s="48"/>
      <c r="H21" s="48"/>
      <c r="I21" s="183"/>
      <c r="J21" s="182"/>
      <c r="K21" s="48"/>
      <c r="L21" s="48"/>
      <c r="M21" s="48"/>
      <c r="N21" s="183"/>
      <c r="O21" s="182"/>
      <c r="P21" s="48"/>
      <c r="Q21" s="48"/>
      <c r="R21" s="48"/>
      <c r="S21" s="183"/>
    </row>
    <row r="22" spans="1:19" s="118" customFormat="1" ht="19.5" customHeight="1">
      <c r="A22" s="122"/>
      <c r="B22" s="51" t="str">
        <f>+'Development Costs'!B32</f>
        <v>Park/Landscaping</v>
      </c>
      <c r="C22" s="51"/>
      <c r="D22" s="167"/>
      <c r="E22" s="198">
        <f>('Development Costs'!C32/1000)*E$9</f>
        <v>4120</v>
      </c>
      <c r="F22" s="242">
        <v>0</v>
      </c>
      <c r="G22" s="242">
        <v>0</v>
      </c>
      <c r="H22" s="242">
        <v>0</v>
      </c>
      <c r="I22" s="265">
        <v>0</v>
      </c>
      <c r="J22" s="198">
        <v>0</v>
      </c>
      <c r="K22" s="242">
        <v>0</v>
      </c>
      <c r="L22" s="242">
        <v>0</v>
      </c>
      <c r="M22" s="242">
        <v>0</v>
      </c>
      <c r="N22" s="265">
        <v>0</v>
      </c>
      <c r="O22" s="198">
        <v>0</v>
      </c>
      <c r="P22" s="242">
        <v>0</v>
      </c>
      <c r="Q22" s="242">
        <v>0</v>
      </c>
      <c r="R22" s="242">
        <v>0</v>
      </c>
      <c r="S22" s="265">
        <v>0</v>
      </c>
    </row>
    <row r="23" spans="1:19" s="145" customFormat="1" ht="19.5" customHeight="1">
      <c r="A23" s="168"/>
      <c r="B23" s="53" t="s">
        <v>47</v>
      </c>
      <c r="C23" s="169"/>
      <c r="D23" s="170"/>
      <c r="E23" s="190">
        <f aca="true" t="shared" si="2" ref="E23:S23">SUM(E22:E22)</f>
        <v>4120</v>
      </c>
      <c r="F23" s="166">
        <f t="shared" si="2"/>
        <v>0</v>
      </c>
      <c r="G23" s="166">
        <f t="shared" si="2"/>
        <v>0</v>
      </c>
      <c r="H23" s="166">
        <f t="shared" si="2"/>
        <v>0</v>
      </c>
      <c r="I23" s="191">
        <f t="shared" si="2"/>
        <v>0</v>
      </c>
      <c r="J23" s="190">
        <f t="shared" si="2"/>
        <v>0</v>
      </c>
      <c r="K23" s="166">
        <f t="shared" si="2"/>
        <v>0</v>
      </c>
      <c r="L23" s="166">
        <f t="shared" si="2"/>
        <v>0</v>
      </c>
      <c r="M23" s="166">
        <f t="shared" si="2"/>
        <v>0</v>
      </c>
      <c r="N23" s="191">
        <f t="shared" si="2"/>
        <v>0</v>
      </c>
      <c r="O23" s="190">
        <f t="shared" si="2"/>
        <v>0</v>
      </c>
      <c r="P23" s="166">
        <f t="shared" si="2"/>
        <v>0</v>
      </c>
      <c r="Q23" s="166">
        <f t="shared" si="2"/>
        <v>0</v>
      </c>
      <c r="R23" s="166">
        <f t="shared" si="2"/>
        <v>0</v>
      </c>
      <c r="S23" s="191">
        <f t="shared" si="2"/>
        <v>0</v>
      </c>
    </row>
    <row r="24" spans="2:19" s="118" customFormat="1" ht="19.5" customHeight="1">
      <c r="B24" s="19"/>
      <c r="C24" s="19"/>
      <c r="D24" s="144"/>
      <c r="E24" s="193"/>
      <c r="F24" s="163"/>
      <c r="G24" s="163"/>
      <c r="H24" s="163"/>
      <c r="I24" s="189"/>
      <c r="J24" s="193"/>
      <c r="K24" s="163"/>
      <c r="L24" s="163"/>
      <c r="M24" s="163"/>
      <c r="N24" s="189"/>
      <c r="O24" s="198"/>
      <c r="P24" s="163"/>
      <c r="Q24" s="163"/>
      <c r="R24" s="163"/>
      <c r="S24" s="189"/>
    </row>
    <row r="25" spans="2:19" s="118" customFormat="1" ht="19.5" customHeight="1">
      <c r="B25" s="19"/>
      <c r="C25" s="19"/>
      <c r="D25" s="144"/>
      <c r="E25" s="193"/>
      <c r="F25" s="163"/>
      <c r="G25" s="163"/>
      <c r="H25" s="163"/>
      <c r="I25" s="189"/>
      <c r="J25" s="193"/>
      <c r="K25" s="163"/>
      <c r="L25" s="163"/>
      <c r="M25" s="163"/>
      <c r="N25" s="189"/>
      <c r="O25" s="198"/>
      <c r="P25" s="163"/>
      <c r="Q25" s="163"/>
      <c r="R25" s="163"/>
      <c r="S25" s="189"/>
    </row>
    <row r="26" spans="1:19" s="122" customFormat="1" ht="19.5" customHeight="1">
      <c r="A26" s="156"/>
      <c r="B26" s="68" t="s">
        <v>43</v>
      </c>
      <c r="C26" s="48"/>
      <c r="D26" s="48"/>
      <c r="E26" s="182"/>
      <c r="F26" s="48"/>
      <c r="G26" s="48"/>
      <c r="H26" s="48"/>
      <c r="I26" s="183"/>
      <c r="J26" s="182"/>
      <c r="K26" s="48"/>
      <c r="L26" s="48"/>
      <c r="M26" s="48"/>
      <c r="N26" s="183"/>
      <c r="O26" s="199"/>
      <c r="P26" s="48"/>
      <c r="Q26" s="48"/>
      <c r="R26" s="48"/>
      <c r="S26" s="183"/>
    </row>
    <row r="27" spans="1:20" s="119" customFormat="1" ht="19.5" customHeight="1">
      <c r="A27" s="171"/>
      <c r="B27" s="54" t="s">
        <v>45</v>
      </c>
      <c r="C27" s="54"/>
      <c r="D27" s="172"/>
      <c r="E27" s="194">
        <f aca="true" t="shared" si="3" ref="E27:S27">+E18+E23</f>
        <v>13726.466352833639</v>
      </c>
      <c r="F27" s="172">
        <f t="shared" si="3"/>
        <v>0</v>
      </c>
      <c r="G27" s="172">
        <f t="shared" si="3"/>
        <v>0</v>
      </c>
      <c r="H27" s="172">
        <f t="shared" si="3"/>
        <v>0</v>
      </c>
      <c r="I27" s="195">
        <f t="shared" si="3"/>
        <v>0</v>
      </c>
      <c r="J27" s="194">
        <f t="shared" si="3"/>
        <v>6511.565554223307</v>
      </c>
      <c r="K27" s="172">
        <f t="shared" si="3"/>
        <v>0</v>
      </c>
      <c r="L27" s="172">
        <f t="shared" si="3"/>
        <v>0</v>
      </c>
      <c r="M27" s="172">
        <f t="shared" si="3"/>
        <v>0</v>
      </c>
      <c r="N27" s="195">
        <f t="shared" si="3"/>
        <v>0</v>
      </c>
      <c r="O27" s="194">
        <f t="shared" si="3"/>
        <v>0</v>
      </c>
      <c r="P27" s="172">
        <f t="shared" si="3"/>
        <v>0</v>
      </c>
      <c r="Q27" s="172">
        <f t="shared" si="3"/>
        <v>0</v>
      </c>
      <c r="R27" s="172">
        <f t="shared" si="3"/>
        <v>0</v>
      </c>
      <c r="S27" s="195">
        <f t="shared" si="3"/>
        <v>0</v>
      </c>
      <c r="T27" s="146"/>
    </row>
    <row r="28" spans="2:19" s="118" customFormat="1" ht="19.5" customHeight="1">
      <c r="B28" s="19"/>
      <c r="C28" s="19"/>
      <c r="D28" s="19"/>
      <c r="E28" s="180"/>
      <c r="F28" s="51"/>
      <c r="G28" s="51"/>
      <c r="H28" s="51"/>
      <c r="I28" s="181"/>
      <c r="J28" s="180"/>
      <c r="K28" s="51"/>
      <c r="L28" s="51"/>
      <c r="M28" s="51"/>
      <c r="N28" s="181"/>
      <c r="O28" s="180"/>
      <c r="P28" s="51"/>
      <c r="Q28" s="51"/>
      <c r="R28" s="51"/>
      <c r="S28" s="181"/>
    </row>
    <row r="29" spans="2:19" s="118" customFormat="1" ht="19.5" customHeight="1">
      <c r="B29" s="19"/>
      <c r="C29" s="19"/>
      <c r="D29" s="19"/>
      <c r="E29" s="180"/>
      <c r="F29" s="51"/>
      <c r="G29" s="51"/>
      <c r="H29" s="51"/>
      <c r="I29" s="181"/>
      <c r="J29" s="180"/>
      <c r="K29" s="51"/>
      <c r="L29" s="51"/>
      <c r="M29" s="51"/>
      <c r="N29" s="181"/>
      <c r="O29" s="180"/>
      <c r="P29" s="51"/>
      <c r="Q29" s="51"/>
      <c r="R29" s="51"/>
      <c r="S29" s="181"/>
    </row>
    <row r="30" spans="1:19" s="118" customFormat="1" ht="19.5" customHeight="1">
      <c r="A30" s="120"/>
      <c r="B30" s="47"/>
      <c r="C30" s="60" t="s">
        <v>95</v>
      </c>
      <c r="D30" s="173">
        <v>0.1</v>
      </c>
      <c r="E30" s="200">
        <f>NPV(D30,$E$27:$S$27)</f>
        <v>16154.21477449854</v>
      </c>
      <c r="F30" s="120"/>
      <c r="G30" s="175"/>
      <c r="H30" s="120"/>
      <c r="I30" s="197"/>
      <c r="J30" s="196"/>
      <c r="K30" s="47"/>
      <c r="L30" s="47"/>
      <c r="M30" s="47"/>
      <c r="N30" s="197"/>
      <c r="O30" s="196"/>
      <c r="P30" s="47"/>
      <c r="Q30" s="47"/>
      <c r="R30" s="47"/>
      <c r="S30" s="197"/>
    </row>
    <row r="31" spans="2:19" s="118" customFormat="1" ht="19.5" customHeight="1">
      <c r="B31" s="19"/>
      <c r="C31" s="19"/>
      <c r="D31" s="19"/>
      <c r="E31" s="19"/>
      <c r="F31" s="147"/>
      <c r="G31" s="148"/>
      <c r="H31" s="149"/>
      <c r="I31" s="19"/>
      <c r="J31" s="19"/>
      <c r="K31" s="19"/>
      <c r="L31" s="19"/>
      <c r="M31" s="19"/>
      <c r="N31" s="19"/>
      <c r="O31" s="19"/>
      <c r="P31" s="19"/>
      <c r="Q31" s="19"/>
      <c r="R31" s="19"/>
      <c r="S31" s="19"/>
    </row>
    <row r="32" spans="2:19" s="118" customFormat="1" ht="19.5" customHeight="1">
      <c r="B32" s="19"/>
      <c r="C32" s="19"/>
      <c r="D32" s="19"/>
      <c r="E32" s="19"/>
      <c r="F32" s="147"/>
      <c r="G32" s="148"/>
      <c r="H32" s="149"/>
      <c r="I32" s="19"/>
      <c r="J32" s="19"/>
      <c r="K32" s="19"/>
      <c r="L32" s="19"/>
      <c r="M32" s="19"/>
      <c r="N32" s="19"/>
      <c r="O32" s="19"/>
      <c r="P32" s="19"/>
      <c r="Q32" s="19"/>
      <c r="R32" s="19"/>
      <c r="S32" s="19"/>
    </row>
    <row r="33" spans="1:19" s="118" customFormat="1" ht="19.5" customHeight="1" thickBot="1">
      <c r="A33" s="115" t="s">
        <v>145</v>
      </c>
      <c r="B33" s="115"/>
      <c r="C33" s="115"/>
      <c r="D33" s="115"/>
      <c r="E33" s="115"/>
      <c r="F33" s="115"/>
      <c r="G33" s="115"/>
      <c r="H33" s="115"/>
      <c r="I33" s="115"/>
      <c r="J33" s="115"/>
      <c r="K33" s="115"/>
      <c r="L33" s="115"/>
      <c r="M33" s="115"/>
      <c r="N33" s="115"/>
      <c r="O33" s="115"/>
      <c r="P33" s="115"/>
      <c r="Q33" s="115"/>
      <c r="R33" s="115"/>
      <c r="S33" s="115"/>
    </row>
    <row r="34" s="118" customFormat="1" ht="19.5" customHeight="1" thickTop="1"/>
    <row r="35" s="118" customFormat="1" ht="19.5" customHeight="1"/>
    <row r="36" s="118" customFormat="1" ht="19.5" customHeight="1"/>
    <row r="37" s="118" customFormat="1" ht="19.5" customHeight="1"/>
  </sheetData>
  <mergeCells count="3">
    <mergeCell ref="E7:I7"/>
    <mergeCell ref="J7:N7"/>
    <mergeCell ref="O7:S7"/>
  </mergeCells>
  <printOptions/>
  <pageMargins left="0.5" right="0.5" top="0.75" bottom="0.75" header="0.5" footer="0.5"/>
  <pageSetup fitToHeight="1" fitToWidth="1" horizontalDpi="600" verticalDpi="600" orientation="landscape" scale="74" r:id="rId1"/>
</worksheet>
</file>

<file path=xl/worksheets/sheet6.xml><?xml version="1.0" encoding="utf-8"?>
<worksheet xmlns="http://schemas.openxmlformats.org/spreadsheetml/2006/main" xmlns:r="http://schemas.openxmlformats.org/officeDocument/2006/relationships">
  <sheetPr>
    <pageSetUpPr fitToPage="1"/>
  </sheetPr>
  <dimension ref="A1:S42"/>
  <sheetViews>
    <sheetView zoomScale="75" zoomScaleNormal="75" workbookViewId="0" topLeftCell="A24">
      <selection activeCell="A1" sqref="A1"/>
    </sheetView>
  </sheetViews>
  <sheetFormatPr defaultColWidth="9.00390625" defaultRowHeight="15.75"/>
  <cols>
    <col min="1" max="1" width="3.125" style="0" customWidth="1"/>
    <col min="2" max="2" width="24.00390625" style="0" customWidth="1"/>
    <col min="3" max="3" width="5.375" style="0" bestFit="1" customWidth="1"/>
    <col min="4" max="4" width="13.75390625" style="0" bestFit="1" customWidth="1"/>
    <col min="5" max="5" width="12.625" style="0" bestFit="1" customWidth="1"/>
    <col min="6" max="8" width="12.25390625" style="0" customWidth="1"/>
    <col min="9" max="18" width="11.625" style="0" customWidth="1"/>
    <col min="19" max="19" width="12.75390625" style="0" bestFit="1" customWidth="1"/>
  </cols>
  <sheetData>
    <row r="1" spans="1:19" s="15" customFormat="1" ht="18.75" thickTop="1">
      <c r="A1" s="113" t="s">
        <v>103</v>
      </c>
      <c r="B1" s="114"/>
      <c r="C1" s="114"/>
      <c r="D1" s="114"/>
      <c r="E1" s="114"/>
      <c r="F1" s="114"/>
      <c r="G1" s="114"/>
      <c r="H1" s="114"/>
      <c r="I1" s="114"/>
      <c r="J1" s="114"/>
      <c r="K1" s="114"/>
      <c r="L1" s="114"/>
      <c r="M1" s="114"/>
      <c r="N1" s="114"/>
      <c r="O1" s="114"/>
      <c r="P1" s="114"/>
      <c r="Q1" s="114"/>
      <c r="R1" s="114"/>
      <c r="S1" s="114"/>
    </row>
    <row r="2" spans="1:4" s="15" customFormat="1" ht="18">
      <c r="A2" s="13" t="s">
        <v>97</v>
      </c>
      <c r="D2" s="16"/>
    </row>
    <row r="3" spans="1:4" s="15" customFormat="1" ht="18">
      <c r="A3" s="13" t="s">
        <v>110</v>
      </c>
      <c r="D3" s="16"/>
    </row>
    <row r="4" spans="1:4" s="15" customFormat="1" ht="15">
      <c r="A4" s="15" t="s">
        <v>115</v>
      </c>
      <c r="D4" s="14">
        <v>0.03</v>
      </c>
    </row>
    <row r="5" spans="2:4" s="15" customFormat="1" ht="15">
      <c r="B5" s="17"/>
      <c r="C5" s="18"/>
      <c r="D5" s="16"/>
    </row>
    <row r="6" spans="1:19" s="19" customFormat="1" ht="19.5" customHeight="1">
      <c r="A6" s="48"/>
      <c r="B6" s="48"/>
      <c r="C6" s="48"/>
      <c r="D6" s="49"/>
      <c r="E6" s="76" t="s">
        <v>3</v>
      </c>
      <c r="F6" s="76" t="s">
        <v>4</v>
      </c>
      <c r="G6" s="76" t="s">
        <v>5</v>
      </c>
      <c r="H6" s="76" t="s">
        <v>6</v>
      </c>
      <c r="I6" s="76" t="s">
        <v>7</v>
      </c>
      <c r="J6" s="76" t="s">
        <v>8</v>
      </c>
      <c r="K6" s="76" t="s">
        <v>9</v>
      </c>
      <c r="L6" s="76" t="s">
        <v>10</v>
      </c>
      <c r="M6" s="76" t="s">
        <v>11</v>
      </c>
      <c r="N6" s="76" t="s">
        <v>12</v>
      </c>
      <c r="O6" s="76" t="s">
        <v>13</v>
      </c>
      <c r="P6" s="76" t="s">
        <v>14</v>
      </c>
      <c r="Q6" s="76" t="s">
        <v>15</v>
      </c>
      <c r="R6" s="76" t="s">
        <v>16</v>
      </c>
      <c r="S6" s="76" t="s">
        <v>17</v>
      </c>
    </row>
    <row r="7" spans="1:19" s="51" customFormat="1" ht="19.5" customHeight="1">
      <c r="A7" s="48"/>
      <c r="B7" s="64" t="s">
        <v>116</v>
      </c>
      <c r="C7" s="48"/>
      <c r="D7" s="65"/>
      <c r="E7" s="65"/>
      <c r="F7" s="65"/>
      <c r="G7" s="65"/>
      <c r="H7" s="65"/>
      <c r="I7" s="65"/>
      <c r="J7" s="65"/>
      <c r="K7" s="65"/>
      <c r="L7" s="65"/>
      <c r="M7" s="65"/>
      <c r="N7" s="65"/>
      <c r="O7" s="48"/>
      <c r="P7" s="48"/>
      <c r="Q7" s="48"/>
      <c r="R7" s="48"/>
      <c r="S7" s="48"/>
    </row>
    <row r="8" spans="2:19" s="19" customFormat="1" ht="19.5" customHeight="1">
      <c r="B8" s="20" t="s">
        <v>55</v>
      </c>
      <c r="C8" s="21"/>
      <c r="D8" s="28">
        <f>+D4</f>
        <v>0.03</v>
      </c>
      <c r="E8" s="22">
        <f>1+D4</f>
        <v>1.03</v>
      </c>
      <c r="F8" s="22">
        <f>E8*(1+$D$4)</f>
        <v>1.0609</v>
      </c>
      <c r="G8" s="22">
        <f aca="true" t="shared" si="0" ref="G8:S8">F8*(1+$D$4)</f>
        <v>1.092727</v>
      </c>
      <c r="H8" s="22">
        <f t="shared" si="0"/>
        <v>1.1255088100000001</v>
      </c>
      <c r="I8" s="22">
        <f t="shared" si="0"/>
        <v>1.1592740743</v>
      </c>
      <c r="J8" s="22">
        <f t="shared" si="0"/>
        <v>1.1940522965290001</v>
      </c>
      <c r="K8" s="22">
        <f t="shared" si="0"/>
        <v>1.2298738654248702</v>
      </c>
      <c r="L8" s="22">
        <f t="shared" si="0"/>
        <v>1.2667700813876164</v>
      </c>
      <c r="M8" s="22">
        <f t="shared" si="0"/>
        <v>1.304773183829245</v>
      </c>
      <c r="N8" s="22">
        <f t="shared" si="0"/>
        <v>1.3439163793441222</v>
      </c>
      <c r="O8" s="22">
        <f t="shared" si="0"/>
        <v>1.384233870724446</v>
      </c>
      <c r="P8" s="22">
        <f t="shared" si="0"/>
        <v>1.4257608868461793</v>
      </c>
      <c r="Q8" s="22">
        <f t="shared" si="0"/>
        <v>1.4685337134515648</v>
      </c>
      <c r="R8" s="22">
        <f t="shared" si="0"/>
        <v>1.512589724855112</v>
      </c>
      <c r="S8" s="22">
        <f t="shared" si="0"/>
        <v>1.5579674166007653</v>
      </c>
    </row>
    <row r="9" spans="2:19" s="19" customFormat="1" ht="19.5" customHeight="1">
      <c r="B9" s="19" t="s">
        <v>117</v>
      </c>
      <c r="C9" s="21"/>
      <c r="D9" s="23">
        <f>+'Development Program'!C10</f>
        <v>450</v>
      </c>
      <c r="E9" s="24">
        <f>+'Development Program'!F10</f>
        <v>0</v>
      </c>
      <c r="F9" s="24">
        <f>+'Development Program'!G10</f>
        <v>100</v>
      </c>
      <c r="G9" s="24">
        <f>+'Development Program'!H10</f>
        <v>200</v>
      </c>
      <c r="H9" s="24">
        <f>+'Development Program'!I10</f>
        <v>325</v>
      </c>
      <c r="I9" s="24">
        <f>+'Development Program'!J10</f>
        <v>450</v>
      </c>
      <c r="J9" s="24">
        <f>+'Development Program'!K10</f>
        <v>450</v>
      </c>
      <c r="K9" s="24">
        <f>+'Development Program'!L10</f>
        <v>450</v>
      </c>
      <c r="L9" s="24">
        <f>+'Development Program'!M10</f>
        <v>450</v>
      </c>
      <c r="M9" s="24">
        <f>+'Development Program'!N10</f>
        <v>450</v>
      </c>
      <c r="N9" s="24">
        <f>+'Development Program'!O10</f>
        <v>450</v>
      </c>
      <c r="O9" s="24">
        <f>+'Development Program'!P10</f>
        <v>450</v>
      </c>
      <c r="P9" s="24">
        <f>+'Development Program'!Q10</f>
        <v>450</v>
      </c>
      <c r="Q9" s="24">
        <f>+'Development Program'!R10</f>
        <v>450</v>
      </c>
      <c r="R9" s="24">
        <f>+'Development Program'!S10</f>
        <v>450</v>
      </c>
      <c r="S9" s="24">
        <f>+'Development Program'!T10</f>
        <v>450</v>
      </c>
    </row>
    <row r="10" spans="2:19" s="19" customFormat="1" ht="19.5" customHeight="1">
      <c r="B10" s="25" t="s">
        <v>57</v>
      </c>
      <c r="C10" s="26"/>
      <c r="D10" s="23">
        <v>1000</v>
      </c>
      <c r="E10" s="24">
        <f>+'Development Program'!F10*'Rental Housing'!$D$10</f>
        <v>0</v>
      </c>
      <c r="F10" s="24">
        <f>+'Development Program'!G10*'Rental Housing'!$D$10</f>
        <v>100000</v>
      </c>
      <c r="G10" s="24">
        <f>+'Development Program'!H10*'Rental Housing'!$D$10</f>
        <v>200000</v>
      </c>
      <c r="H10" s="24">
        <f>+'Development Program'!I10*'Rental Housing'!$D$10</f>
        <v>325000</v>
      </c>
      <c r="I10" s="24">
        <f>+'Development Program'!J10*'Rental Housing'!$D$10</f>
        <v>450000</v>
      </c>
      <c r="J10" s="24">
        <f>+'Development Program'!K10*'Rental Housing'!$D$10</f>
        <v>450000</v>
      </c>
      <c r="K10" s="24">
        <f>+'Development Program'!L10*'Rental Housing'!$D$10</f>
        <v>450000</v>
      </c>
      <c r="L10" s="24">
        <f>+'Development Program'!M10*'Rental Housing'!$D$10</f>
        <v>450000</v>
      </c>
      <c r="M10" s="24">
        <f>+'Development Program'!N10*'Rental Housing'!$D$10</f>
        <v>450000</v>
      </c>
      <c r="N10" s="24">
        <f>+'Development Program'!O10*'Rental Housing'!$D$10</f>
        <v>450000</v>
      </c>
      <c r="O10" s="24">
        <f>+'Development Program'!P10*'Rental Housing'!$D$10</f>
        <v>450000</v>
      </c>
      <c r="P10" s="24">
        <f>+'Development Program'!Q10*'Rental Housing'!$D$10</f>
        <v>450000</v>
      </c>
      <c r="Q10" s="24">
        <f>+'Development Program'!R10*'Rental Housing'!$D$10</f>
        <v>450000</v>
      </c>
      <c r="R10" s="24">
        <f>+'Development Program'!S10*'Rental Housing'!$D$10</f>
        <v>450000</v>
      </c>
      <c r="S10" s="24">
        <f>+'Development Program'!T10*'Rental Housing'!$D$10</f>
        <v>450000</v>
      </c>
    </row>
    <row r="11" spans="2:19" s="19" customFormat="1" ht="19.5" customHeight="1">
      <c r="B11" s="25" t="s">
        <v>149</v>
      </c>
      <c r="C11" s="26"/>
      <c r="D11" s="23">
        <f>D10*0.84</f>
        <v>840</v>
      </c>
      <c r="E11" s="24">
        <f>E10*0.84</f>
        <v>0</v>
      </c>
      <c r="F11" s="24">
        <f aca="true" t="shared" si="1" ref="F11:S11">F10*0.84</f>
        <v>84000</v>
      </c>
      <c r="G11" s="24">
        <f t="shared" si="1"/>
        <v>168000</v>
      </c>
      <c r="H11" s="24">
        <f t="shared" si="1"/>
        <v>273000</v>
      </c>
      <c r="I11" s="24">
        <f t="shared" si="1"/>
        <v>378000</v>
      </c>
      <c r="J11" s="24">
        <f t="shared" si="1"/>
        <v>378000</v>
      </c>
      <c r="K11" s="24">
        <f t="shared" si="1"/>
        <v>378000</v>
      </c>
      <c r="L11" s="24">
        <f t="shared" si="1"/>
        <v>378000</v>
      </c>
      <c r="M11" s="24">
        <f t="shared" si="1"/>
        <v>378000</v>
      </c>
      <c r="N11" s="24">
        <f t="shared" si="1"/>
        <v>378000</v>
      </c>
      <c r="O11" s="24">
        <f t="shared" si="1"/>
        <v>378000</v>
      </c>
      <c r="P11" s="24">
        <f t="shared" si="1"/>
        <v>378000</v>
      </c>
      <c r="Q11" s="24">
        <f t="shared" si="1"/>
        <v>378000</v>
      </c>
      <c r="R11" s="24">
        <f t="shared" si="1"/>
        <v>378000</v>
      </c>
      <c r="S11" s="24">
        <f t="shared" si="1"/>
        <v>378000</v>
      </c>
    </row>
    <row r="12" spans="2:19" s="19" customFormat="1" ht="19.5" customHeight="1">
      <c r="B12" s="25" t="s">
        <v>143</v>
      </c>
      <c r="C12" s="21"/>
      <c r="D12" s="27">
        <v>1.95</v>
      </c>
      <c r="E12" s="27">
        <f>+D12*$E$8</f>
        <v>2.0085</v>
      </c>
      <c r="F12" s="27">
        <f aca="true" t="shared" si="2" ref="F12:S12">+E12*$E$8</f>
        <v>2.0687550000000003</v>
      </c>
      <c r="G12" s="27">
        <f t="shared" si="2"/>
        <v>2.1308176500000005</v>
      </c>
      <c r="H12" s="27">
        <f t="shared" si="2"/>
        <v>2.1947421795000004</v>
      </c>
      <c r="I12" s="27">
        <f t="shared" si="2"/>
        <v>2.2605844448850005</v>
      </c>
      <c r="J12" s="27">
        <f t="shared" si="2"/>
        <v>2.328401978231551</v>
      </c>
      <c r="K12" s="27">
        <f t="shared" si="2"/>
        <v>2.3982540375784973</v>
      </c>
      <c r="L12" s="27">
        <f t="shared" si="2"/>
        <v>2.4702016587058524</v>
      </c>
      <c r="M12" s="27">
        <f t="shared" si="2"/>
        <v>2.544307708467028</v>
      </c>
      <c r="N12" s="27">
        <f t="shared" si="2"/>
        <v>2.620636939721039</v>
      </c>
      <c r="O12" s="27">
        <f t="shared" si="2"/>
        <v>2.6992560479126704</v>
      </c>
      <c r="P12" s="27">
        <f t="shared" si="2"/>
        <v>2.7802337293500505</v>
      </c>
      <c r="Q12" s="27">
        <f t="shared" si="2"/>
        <v>2.8636407412305522</v>
      </c>
      <c r="R12" s="27">
        <f t="shared" si="2"/>
        <v>2.9495499634674687</v>
      </c>
      <c r="S12" s="27">
        <f t="shared" si="2"/>
        <v>3.0380364623714926</v>
      </c>
    </row>
    <row r="13" spans="1:19" s="19" customFormat="1" ht="19.5" customHeight="1">
      <c r="A13" s="53"/>
      <c r="B13" s="53" t="s">
        <v>58</v>
      </c>
      <c r="C13" s="62"/>
      <c r="D13" s="28">
        <v>0.96</v>
      </c>
      <c r="E13" s="63"/>
      <c r="F13" s="63"/>
      <c r="G13" s="63"/>
      <c r="H13" s="63"/>
      <c r="I13" s="63"/>
      <c r="J13" s="63"/>
      <c r="K13" s="63"/>
      <c r="L13" s="63"/>
      <c r="M13" s="63"/>
      <c r="N13" s="63"/>
      <c r="O13" s="53"/>
      <c r="P13" s="53"/>
      <c r="Q13" s="53"/>
      <c r="R13" s="53"/>
      <c r="S13" s="53"/>
    </row>
    <row r="14" spans="3:14" s="19" customFormat="1" ht="19.5" customHeight="1">
      <c r="C14" s="21"/>
      <c r="D14" s="29"/>
      <c r="E14" s="22"/>
      <c r="F14" s="22"/>
      <c r="G14" s="22"/>
      <c r="H14" s="22"/>
      <c r="I14" s="22"/>
      <c r="J14" s="22"/>
      <c r="K14" s="22"/>
      <c r="L14" s="22"/>
      <c r="M14" s="22"/>
      <c r="N14" s="22"/>
    </row>
    <row r="15" spans="2:14" s="19" customFormat="1" ht="19.5" customHeight="1">
      <c r="B15" s="20"/>
      <c r="D15" s="30"/>
      <c r="E15" s="31"/>
      <c r="F15" s="32"/>
      <c r="G15" s="32"/>
      <c r="H15" s="32"/>
      <c r="I15" s="32"/>
      <c r="J15" s="32"/>
      <c r="K15" s="32"/>
      <c r="L15" s="32"/>
      <c r="M15" s="32"/>
      <c r="N15" s="32"/>
    </row>
    <row r="16" spans="1:19" s="19" customFormat="1" ht="19.5" customHeight="1">
      <c r="A16" s="48"/>
      <c r="B16" s="64" t="s">
        <v>86</v>
      </c>
      <c r="C16" s="48"/>
      <c r="D16" s="48"/>
      <c r="E16" s="66"/>
      <c r="F16" s="67"/>
      <c r="G16" s="67"/>
      <c r="H16" s="67"/>
      <c r="I16" s="67"/>
      <c r="J16" s="67"/>
      <c r="K16" s="67"/>
      <c r="L16" s="67"/>
      <c r="M16" s="66"/>
      <c r="N16" s="67"/>
      <c r="O16" s="48"/>
      <c r="P16" s="48"/>
      <c r="Q16" s="48"/>
      <c r="R16" s="48"/>
      <c r="S16" s="48"/>
    </row>
    <row r="17" spans="2:19" s="19" customFormat="1" ht="20.25" customHeight="1">
      <c r="B17" s="20" t="s">
        <v>142</v>
      </c>
      <c r="D17" s="33"/>
      <c r="E17" s="74">
        <f>(E12*E11*$D$13*12)/1000</f>
        <v>0</v>
      </c>
      <c r="F17" s="74">
        <f aca="true" t="shared" si="3" ref="F17:S17">(F12*F11*$D$13*12)/1000</f>
        <v>2001.8928384000003</v>
      </c>
      <c r="G17" s="74">
        <f t="shared" si="3"/>
        <v>4123.899247104</v>
      </c>
      <c r="H17" s="74">
        <f t="shared" si="3"/>
        <v>6902.376364840321</v>
      </c>
      <c r="I17" s="74">
        <f t="shared" si="3"/>
        <v>9843.850600318427</v>
      </c>
      <c r="J17" s="74">
        <f t="shared" si="3"/>
        <v>10139.166118327981</v>
      </c>
      <c r="K17" s="74">
        <f t="shared" si="3"/>
        <v>10443.34110187782</v>
      </c>
      <c r="L17" s="74">
        <f t="shared" si="3"/>
        <v>10756.641334934156</v>
      </c>
      <c r="M17" s="74">
        <f t="shared" si="3"/>
        <v>11079.340574982181</v>
      </c>
      <c r="N17" s="74">
        <f t="shared" si="3"/>
        <v>11411.720792231647</v>
      </c>
      <c r="O17" s="74">
        <f t="shared" si="3"/>
        <v>11754.072415998597</v>
      </c>
      <c r="P17" s="74">
        <f t="shared" si="3"/>
        <v>12106.694588478556</v>
      </c>
      <c r="Q17" s="74">
        <f t="shared" si="3"/>
        <v>12469.895426132915</v>
      </c>
      <c r="R17" s="74">
        <f t="shared" si="3"/>
        <v>12843.992288916901</v>
      </c>
      <c r="S17" s="74">
        <f t="shared" si="3"/>
        <v>13229.312057584404</v>
      </c>
    </row>
    <row r="18" spans="2:19" s="19" customFormat="1" ht="19.5" customHeight="1">
      <c r="B18" s="19" t="s">
        <v>144</v>
      </c>
      <c r="D18" s="27">
        <v>6.5</v>
      </c>
      <c r="E18" s="38">
        <f>+E10*$D$18*E8/1000</f>
        <v>0</v>
      </c>
      <c r="F18" s="38">
        <f aca="true" t="shared" si="4" ref="F18:S18">+F10*$D$18*F8/1000</f>
        <v>689.585</v>
      </c>
      <c r="G18" s="38">
        <f t="shared" si="4"/>
        <v>1420.5451</v>
      </c>
      <c r="H18" s="38">
        <f t="shared" si="4"/>
        <v>2377.637361125</v>
      </c>
      <c r="I18" s="38">
        <f t="shared" si="4"/>
        <v>3390.8766673275004</v>
      </c>
      <c r="J18" s="38">
        <f t="shared" si="4"/>
        <v>3492.6029673473254</v>
      </c>
      <c r="K18" s="38">
        <f t="shared" si="4"/>
        <v>3597.3810563677453</v>
      </c>
      <c r="L18" s="38">
        <f t="shared" si="4"/>
        <v>3705.302488058778</v>
      </c>
      <c r="M18" s="38">
        <f t="shared" si="4"/>
        <v>3816.4615627005414</v>
      </c>
      <c r="N18" s="38">
        <f t="shared" si="4"/>
        <v>3930.9554095815574</v>
      </c>
      <c r="O18" s="38">
        <f t="shared" si="4"/>
        <v>4048.8840718690044</v>
      </c>
      <c r="P18" s="38">
        <f t="shared" si="4"/>
        <v>4170.350594025074</v>
      </c>
      <c r="Q18" s="38">
        <f t="shared" si="4"/>
        <v>4295.461111845827</v>
      </c>
      <c r="R18" s="38">
        <f t="shared" si="4"/>
        <v>4424.324945201202</v>
      </c>
      <c r="S18" s="38">
        <f t="shared" si="4"/>
        <v>4557.054693557238</v>
      </c>
    </row>
    <row r="19" ht="19.5" customHeight="1"/>
    <row r="20" spans="1:19" s="19" customFormat="1" ht="19.5" customHeight="1">
      <c r="A20" s="53"/>
      <c r="B20" s="54" t="s">
        <v>86</v>
      </c>
      <c r="C20" s="53"/>
      <c r="D20" s="53"/>
      <c r="E20" s="139">
        <f>+E17-E18</f>
        <v>0</v>
      </c>
      <c r="F20" s="55">
        <f aca="true" t="shared" si="5" ref="F20:S20">+F17-F18</f>
        <v>1312.3078384000003</v>
      </c>
      <c r="G20" s="55">
        <f t="shared" si="5"/>
        <v>2703.354147104</v>
      </c>
      <c r="H20" s="55">
        <f t="shared" si="5"/>
        <v>4524.739003715321</v>
      </c>
      <c r="I20" s="55">
        <f t="shared" si="5"/>
        <v>6452.973932990926</v>
      </c>
      <c r="J20" s="55">
        <f t="shared" si="5"/>
        <v>6646.563150980655</v>
      </c>
      <c r="K20" s="55">
        <f t="shared" si="5"/>
        <v>6845.960045510075</v>
      </c>
      <c r="L20" s="55">
        <f t="shared" si="5"/>
        <v>7051.338846875378</v>
      </c>
      <c r="M20" s="55">
        <f t="shared" si="5"/>
        <v>7262.87901228164</v>
      </c>
      <c r="N20" s="55">
        <f t="shared" si="5"/>
        <v>7480.765382650089</v>
      </c>
      <c r="O20" s="55">
        <f t="shared" si="5"/>
        <v>7705.188344129592</v>
      </c>
      <c r="P20" s="55">
        <f t="shared" si="5"/>
        <v>7936.343994453482</v>
      </c>
      <c r="Q20" s="55">
        <f t="shared" si="5"/>
        <v>8174.434314287088</v>
      </c>
      <c r="R20" s="55">
        <f t="shared" si="5"/>
        <v>8419.667343715699</v>
      </c>
      <c r="S20" s="55">
        <f t="shared" si="5"/>
        <v>8672.257364027166</v>
      </c>
    </row>
    <row r="21" s="19" customFormat="1" ht="19.5" customHeight="1"/>
    <row r="22" s="19" customFormat="1" ht="19.5" customHeight="1"/>
    <row r="23" spans="1:19" s="19" customFormat="1" ht="19.5" customHeight="1">
      <c r="A23" s="48"/>
      <c r="B23" s="68" t="s">
        <v>88</v>
      </c>
      <c r="C23" s="48"/>
      <c r="D23" s="48"/>
      <c r="E23" s="48"/>
      <c r="F23" s="48"/>
      <c r="G23" s="48"/>
      <c r="H23" s="48"/>
      <c r="I23" s="48"/>
      <c r="J23" s="48"/>
      <c r="K23" s="48"/>
      <c r="L23" s="48"/>
      <c r="M23" s="48"/>
      <c r="N23" s="48"/>
      <c r="O23" s="48"/>
      <c r="P23" s="48"/>
      <c r="Q23" s="48"/>
      <c r="R23" s="48"/>
      <c r="S23" s="48"/>
    </row>
    <row r="24" spans="2:19" s="19" customFormat="1" ht="19.5" customHeight="1">
      <c r="B24" s="19" t="s">
        <v>89</v>
      </c>
      <c r="E24" s="42">
        <f aca="true" t="shared" si="6" ref="E24:R24">+E27-D27</f>
        <v>0.2222222222222222</v>
      </c>
      <c r="F24" s="42">
        <f t="shared" si="6"/>
        <v>0.2222222222222222</v>
      </c>
      <c r="G24" s="42">
        <f t="shared" si="6"/>
        <v>0.2777777777777778</v>
      </c>
      <c r="H24" s="42">
        <f t="shared" si="6"/>
        <v>0.2777777777777778</v>
      </c>
      <c r="I24" s="42">
        <f t="shared" si="6"/>
        <v>0</v>
      </c>
      <c r="J24" s="42">
        <f t="shared" si="6"/>
        <v>0</v>
      </c>
      <c r="K24" s="42">
        <f t="shared" si="6"/>
        <v>0</v>
      </c>
      <c r="L24" s="42">
        <f t="shared" si="6"/>
        <v>0</v>
      </c>
      <c r="M24" s="42">
        <f t="shared" si="6"/>
        <v>0</v>
      </c>
      <c r="N24" s="42">
        <f t="shared" si="6"/>
        <v>0</v>
      </c>
      <c r="O24" s="42">
        <f t="shared" si="6"/>
        <v>0</v>
      </c>
      <c r="P24" s="42">
        <f t="shared" si="6"/>
        <v>0</v>
      </c>
      <c r="Q24" s="42">
        <f t="shared" si="6"/>
        <v>0</v>
      </c>
      <c r="R24" s="42">
        <f t="shared" si="6"/>
        <v>0</v>
      </c>
      <c r="S24" s="42">
        <v>0</v>
      </c>
    </row>
    <row r="25" spans="2:19" s="19" customFormat="1" ht="19.5" customHeight="1">
      <c r="B25" s="19" t="s">
        <v>88</v>
      </c>
      <c r="D25" s="41">
        <f>+'Development Costs'!I13*'Rental Housing'!D9/1000</f>
        <v>64350</v>
      </c>
      <c r="E25" s="266">
        <f aca="true" t="shared" si="7" ref="E25:S25">+E24*$D$25*E8</f>
        <v>14729</v>
      </c>
      <c r="F25" s="266">
        <f t="shared" si="7"/>
        <v>15170.869999999999</v>
      </c>
      <c r="G25" s="266">
        <f t="shared" si="7"/>
        <v>19532.495125</v>
      </c>
      <c r="H25" s="266">
        <f t="shared" si="7"/>
        <v>20118.469978750003</v>
      </c>
      <c r="I25" s="266">
        <f t="shared" si="7"/>
        <v>0</v>
      </c>
      <c r="J25" s="266">
        <f t="shared" si="7"/>
        <v>0</v>
      </c>
      <c r="K25" s="266">
        <f t="shared" si="7"/>
        <v>0</v>
      </c>
      <c r="L25" s="266">
        <f t="shared" si="7"/>
        <v>0</v>
      </c>
      <c r="M25" s="266">
        <f t="shared" si="7"/>
        <v>0</v>
      </c>
      <c r="N25" s="266">
        <f t="shared" si="7"/>
        <v>0</v>
      </c>
      <c r="O25" s="266">
        <f t="shared" si="7"/>
        <v>0</v>
      </c>
      <c r="P25" s="266">
        <f t="shared" si="7"/>
        <v>0</v>
      </c>
      <c r="Q25" s="266">
        <f t="shared" si="7"/>
        <v>0</v>
      </c>
      <c r="R25" s="266">
        <f t="shared" si="7"/>
        <v>0</v>
      </c>
      <c r="S25" s="266">
        <f t="shared" si="7"/>
        <v>0</v>
      </c>
    </row>
    <row r="26" spans="2:19" ht="19.5" customHeight="1">
      <c r="B26" s="19" t="s">
        <v>139</v>
      </c>
      <c r="E26" s="266">
        <f>+'Infrastructure Costs'!E12</f>
        <v>2504.764168190128</v>
      </c>
      <c r="F26" s="266">
        <f>+'Infrastructure Costs'!F12</f>
        <v>0</v>
      </c>
      <c r="G26" s="266">
        <f>+'Infrastructure Costs'!G12</f>
        <v>0</v>
      </c>
      <c r="H26" s="266">
        <f>+'Infrastructure Costs'!H12</f>
        <v>0</v>
      </c>
      <c r="I26" s="266">
        <f>+'Infrastructure Costs'!I12</f>
        <v>0</v>
      </c>
      <c r="J26" s="266">
        <f>+'Infrastructure Costs'!J12</f>
        <v>0</v>
      </c>
      <c r="K26" s="266">
        <f>+'Infrastructure Costs'!K12</f>
        <v>0</v>
      </c>
      <c r="L26" s="266">
        <f>+'Infrastructure Costs'!L12</f>
        <v>0</v>
      </c>
      <c r="M26" s="266">
        <f>+'Infrastructure Costs'!M12</f>
        <v>0</v>
      </c>
      <c r="N26" s="266">
        <f>+'Infrastructure Costs'!N12</f>
        <v>0</v>
      </c>
      <c r="O26" s="266">
        <f>+'Infrastructure Costs'!O12</f>
        <v>0</v>
      </c>
      <c r="P26" s="266">
        <f>+'Infrastructure Costs'!P12</f>
        <v>0</v>
      </c>
      <c r="Q26" s="266">
        <f>+'Infrastructure Costs'!Q12</f>
        <v>0</v>
      </c>
      <c r="R26" s="266">
        <f>+'Infrastructure Costs'!R12</f>
        <v>0</v>
      </c>
      <c r="S26" s="266">
        <f>+'Infrastructure Costs'!S12</f>
        <v>0</v>
      </c>
    </row>
    <row r="27" spans="2:19" s="19" customFormat="1" ht="19.5" customHeight="1" hidden="1">
      <c r="B27" s="19" t="s">
        <v>89</v>
      </c>
      <c r="E27" s="42">
        <f>+F9/$D9</f>
        <v>0.2222222222222222</v>
      </c>
      <c r="F27" s="42">
        <f aca="true" t="shared" si="8" ref="F27:S27">+G9/$D9</f>
        <v>0.4444444444444444</v>
      </c>
      <c r="G27" s="42">
        <f t="shared" si="8"/>
        <v>0.7222222222222222</v>
      </c>
      <c r="H27" s="42">
        <f t="shared" si="8"/>
        <v>1</v>
      </c>
      <c r="I27" s="42">
        <f t="shared" si="8"/>
        <v>1</v>
      </c>
      <c r="J27" s="42">
        <f t="shared" si="8"/>
        <v>1</v>
      </c>
      <c r="K27" s="42">
        <f t="shared" si="8"/>
        <v>1</v>
      </c>
      <c r="L27" s="42">
        <f t="shared" si="8"/>
        <v>1</v>
      </c>
      <c r="M27" s="42">
        <f t="shared" si="8"/>
        <v>1</v>
      </c>
      <c r="N27" s="42">
        <f t="shared" si="8"/>
        <v>1</v>
      </c>
      <c r="O27" s="42">
        <f t="shared" si="8"/>
        <v>1</v>
      </c>
      <c r="P27" s="42">
        <f t="shared" si="8"/>
        <v>1</v>
      </c>
      <c r="Q27" s="42">
        <f t="shared" si="8"/>
        <v>1</v>
      </c>
      <c r="R27" s="42">
        <f t="shared" si="8"/>
        <v>1</v>
      </c>
      <c r="S27" s="42">
        <f t="shared" si="8"/>
        <v>0</v>
      </c>
    </row>
    <row r="28" spans="1:19" s="40" customFormat="1" ht="19.5" customHeight="1">
      <c r="A28" s="54"/>
      <c r="B28" s="54" t="s">
        <v>96</v>
      </c>
      <c r="C28" s="54"/>
      <c r="D28" s="54"/>
      <c r="E28" s="139">
        <f>+E26+E25</f>
        <v>17233.76416819013</v>
      </c>
      <c r="F28" s="139">
        <f aca="true" t="shared" si="9" ref="F28:S28">+F26+F25</f>
        <v>15170.869999999999</v>
      </c>
      <c r="G28" s="139">
        <f t="shared" si="9"/>
        <v>19532.495125</v>
      </c>
      <c r="H28" s="139">
        <f t="shared" si="9"/>
        <v>20118.469978750003</v>
      </c>
      <c r="I28" s="139">
        <f t="shared" si="9"/>
        <v>0</v>
      </c>
      <c r="J28" s="139">
        <f t="shared" si="9"/>
        <v>0</v>
      </c>
      <c r="K28" s="139">
        <f t="shared" si="9"/>
        <v>0</v>
      </c>
      <c r="L28" s="139">
        <f t="shared" si="9"/>
        <v>0</v>
      </c>
      <c r="M28" s="139">
        <f t="shared" si="9"/>
        <v>0</v>
      </c>
      <c r="N28" s="139">
        <f t="shared" si="9"/>
        <v>0</v>
      </c>
      <c r="O28" s="139">
        <f t="shared" si="9"/>
        <v>0</v>
      </c>
      <c r="P28" s="139">
        <f t="shared" si="9"/>
        <v>0</v>
      </c>
      <c r="Q28" s="139">
        <f t="shared" si="9"/>
        <v>0</v>
      </c>
      <c r="R28" s="139">
        <f t="shared" si="9"/>
        <v>0</v>
      </c>
      <c r="S28" s="139">
        <f t="shared" si="9"/>
        <v>0</v>
      </c>
    </row>
    <row r="29" s="19" customFormat="1" ht="19.5" customHeight="1"/>
    <row r="30" s="19" customFormat="1" ht="19.5" customHeight="1"/>
    <row r="31" spans="1:19" s="19" customFormat="1" ht="19.5" customHeight="1">
      <c r="A31" s="48"/>
      <c r="B31" s="68" t="s">
        <v>118</v>
      </c>
      <c r="C31" s="48"/>
      <c r="D31" s="48"/>
      <c r="E31" s="48"/>
      <c r="F31" s="48"/>
      <c r="G31" s="48"/>
      <c r="H31" s="48"/>
      <c r="I31" s="48"/>
      <c r="J31" s="48"/>
      <c r="K31" s="48"/>
      <c r="L31" s="48"/>
      <c r="M31" s="48"/>
      <c r="N31" s="48"/>
      <c r="O31" s="48"/>
      <c r="P31" s="48"/>
      <c r="Q31" s="48"/>
      <c r="R31" s="48"/>
      <c r="S31" s="48"/>
    </row>
    <row r="32" spans="2:19" s="19" customFormat="1" ht="19.5" customHeight="1">
      <c r="B32" s="19" t="str">
        <f>+B20</f>
        <v>Net Operating Income</v>
      </c>
      <c r="E32" s="39">
        <f>+E20</f>
        <v>0</v>
      </c>
      <c r="F32" s="39">
        <f aca="true" t="shared" si="10" ref="F32:S32">+F20</f>
        <v>1312.3078384000003</v>
      </c>
      <c r="G32" s="39">
        <f t="shared" si="10"/>
        <v>2703.354147104</v>
      </c>
      <c r="H32" s="39">
        <f t="shared" si="10"/>
        <v>4524.739003715321</v>
      </c>
      <c r="I32" s="39">
        <f t="shared" si="10"/>
        <v>6452.973932990926</v>
      </c>
      <c r="J32" s="39">
        <f t="shared" si="10"/>
        <v>6646.563150980655</v>
      </c>
      <c r="K32" s="39">
        <f t="shared" si="10"/>
        <v>6845.960045510075</v>
      </c>
      <c r="L32" s="39">
        <f t="shared" si="10"/>
        <v>7051.338846875378</v>
      </c>
      <c r="M32" s="39">
        <f t="shared" si="10"/>
        <v>7262.87901228164</v>
      </c>
      <c r="N32" s="39">
        <f t="shared" si="10"/>
        <v>7480.765382650089</v>
      </c>
      <c r="O32" s="39">
        <f t="shared" si="10"/>
        <v>7705.188344129592</v>
      </c>
      <c r="P32" s="39">
        <f t="shared" si="10"/>
        <v>7936.343994453482</v>
      </c>
      <c r="Q32" s="39">
        <f t="shared" si="10"/>
        <v>8174.434314287088</v>
      </c>
      <c r="R32" s="39">
        <f t="shared" si="10"/>
        <v>8419.667343715699</v>
      </c>
      <c r="S32" s="39">
        <f t="shared" si="10"/>
        <v>8672.257364027166</v>
      </c>
    </row>
    <row r="33" spans="2:19" s="19" customFormat="1" ht="19.5" customHeight="1">
      <c r="B33" s="19" t="s">
        <v>127</v>
      </c>
      <c r="C33" s="43">
        <v>0.1</v>
      </c>
      <c r="E33" s="39"/>
      <c r="F33" s="39"/>
      <c r="G33" s="39"/>
      <c r="H33" s="39"/>
      <c r="I33" s="39"/>
      <c r="J33" s="39"/>
      <c r="K33" s="39"/>
      <c r="L33" s="39"/>
      <c r="M33" s="39"/>
      <c r="N33" s="39"/>
      <c r="O33" s="39"/>
      <c r="P33" s="39"/>
      <c r="Q33" s="39"/>
      <c r="R33" s="39"/>
      <c r="S33" s="39">
        <f>+S32/C33</f>
        <v>86722.57364027166</v>
      </c>
    </row>
    <row r="34" spans="2:19" s="19" customFormat="1" ht="19.5" customHeight="1">
      <c r="B34" s="19" t="s">
        <v>119</v>
      </c>
      <c r="C34" s="43">
        <v>0.05</v>
      </c>
      <c r="E34" s="39"/>
      <c r="F34" s="39"/>
      <c r="G34" s="39"/>
      <c r="H34" s="39"/>
      <c r="I34" s="39"/>
      <c r="J34" s="39"/>
      <c r="K34" s="39"/>
      <c r="L34" s="39"/>
      <c r="M34" s="39"/>
      <c r="N34" s="39"/>
      <c r="O34" s="39"/>
      <c r="P34" s="39"/>
      <c r="Q34" s="39"/>
      <c r="R34" s="39"/>
      <c r="S34" s="39">
        <f>-S33*C34</f>
        <v>-4336.128682013583</v>
      </c>
    </row>
    <row r="35" spans="2:19" s="19" customFormat="1" ht="19.5" customHeight="1">
      <c r="B35" s="19" t="str">
        <f>+B28</f>
        <v>Total Development Costs</v>
      </c>
      <c r="E35" s="44">
        <f>-E28</f>
        <v>-17233.76416819013</v>
      </c>
      <c r="F35" s="44">
        <f aca="true" t="shared" si="11" ref="F35:S35">-F28</f>
        <v>-15170.869999999999</v>
      </c>
      <c r="G35" s="44">
        <f t="shared" si="11"/>
        <v>-19532.495125</v>
      </c>
      <c r="H35" s="44">
        <f t="shared" si="11"/>
        <v>-20118.469978750003</v>
      </c>
      <c r="I35" s="44">
        <f t="shared" si="11"/>
        <v>0</v>
      </c>
      <c r="J35" s="44">
        <f t="shared" si="11"/>
        <v>0</v>
      </c>
      <c r="K35" s="44">
        <f t="shared" si="11"/>
        <v>0</v>
      </c>
      <c r="L35" s="44">
        <f t="shared" si="11"/>
        <v>0</v>
      </c>
      <c r="M35" s="44">
        <f t="shared" si="11"/>
        <v>0</v>
      </c>
      <c r="N35" s="44">
        <f t="shared" si="11"/>
        <v>0</v>
      </c>
      <c r="O35" s="44">
        <f t="shared" si="11"/>
        <v>0</v>
      </c>
      <c r="P35" s="44">
        <f t="shared" si="11"/>
        <v>0</v>
      </c>
      <c r="Q35" s="44">
        <f t="shared" si="11"/>
        <v>0</v>
      </c>
      <c r="R35" s="44">
        <f t="shared" si="11"/>
        <v>0</v>
      </c>
      <c r="S35" s="44">
        <f t="shared" si="11"/>
        <v>0</v>
      </c>
    </row>
    <row r="36" spans="1:19" s="19" customFormat="1" ht="19.5" customHeight="1">
      <c r="A36" s="53"/>
      <c r="B36" s="53" t="s">
        <v>90</v>
      </c>
      <c r="C36" s="53"/>
      <c r="D36" s="59"/>
      <c r="E36" s="55">
        <f>SUM(E32:E35)</f>
        <v>-17233.76416819013</v>
      </c>
      <c r="F36" s="55">
        <f aca="true" t="shared" si="12" ref="F36:S36">SUM(F32:F35)</f>
        <v>-13858.562161599999</v>
      </c>
      <c r="G36" s="55">
        <f t="shared" si="12"/>
        <v>-16829.140977896</v>
      </c>
      <c r="H36" s="55">
        <f t="shared" si="12"/>
        <v>-15593.730975034683</v>
      </c>
      <c r="I36" s="55">
        <f t="shared" si="12"/>
        <v>6452.973932990926</v>
      </c>
      <c r="J36" s="55">
        <f t="shared" si="12"/>
        <v>6646.563150980655</v>
      </c>
      <c r="K36" s="55">
        <f t="shared" si="12"/>
        <v>6845.960045510075</v>
      </c>
      <c r="L36" s="55">
        <f t="shared" si="12"/>
        <v>7051.338846875378</v>
      </c>
      <c r="M36" s="55">
        <f t="shared" si="12"/>
        <v>7262.87901228164</v>
      </c>
      <c r="N36" s="55">
        <f t="shared" si="12"/>
        <v>7480.765382650089</v>
      </c>
      <c r="O36" s="55">
        <f t="shared" si="12"/>
        <v>7705.188344129592</v>
      </c>
      <c r="P36" s="55">
        <f t="shared" si="12"/>
        <v>7936.343994453482</v>
      </c>
      <c r="Q36" s="55">
        <f t="shared" si="12"/>
        <v>8174.434314287088</v>
      </c>
      <c r="R36" s="55">
        <f t="shared" si="12"/>
        <v>8419.667343715699</v>
      </c>
      <c r="S36" s="55">
        <f t="shared" si="12"/>
        <v>91058.70232228523</v>
      </c>
    </row>
    <row r="37" s="19" customFormat="1" ht="19.5" customHeight="1"/>
    <row r="38" spans="1:19" s="40" customFormat="1" ht="19.5" customHeight="1">
      <c r="A38" s="57"/>
      <c r="B38" s="60" t="s">
        <v>121</v>
      </c>
      <c r="C38" s="61">
        <v>0.1</v>
      </c>
      <c r="D38" s="112">
        <f>NPV(C38,$E$36:$S$36)</f>
        <v>1723.4832905823348</v>
      </c>
      <c r="E38" s="57"/>
      <c r="F38" s="57"/>
      <c r="G38" s="60" t="s">
        <v>91</v>
      </c>
      <c r="H38" s="109">
        <f>IRR(E36:S36)</f>
        <v>0.10407044132806959</v>
      </c>
      <c r="I38" s="57"/>
      <c r="J38" s="57"/>
      <c r="K38" s="57"/>
      <c r="L38" s="57"/>
      <c r="M38" s="57"/>
      <c r="N38" s="57"/>
      <c r="O38" s="57"/>
      <c r="P38" s="57"/>
      <c r="Q38" s="57"/>
      <c r="R38" s="57"/>
      <c r="S38" s="57"/>
    </row>
    <row r="39" s="19" customFormat="1" ht="19.5" customHeight="1"/>
    <row r="40" s="19" customFormat="1" ht="19.5" customHeight="1">
      <c r="A40" s="46" t="s">
        <v>120</v>
      </c>
    </row>
    <row r="41" s="19" customFormat="1" ht="19.5" customHeight="1"/>
    <row r="42" spans="1:19" s="19" customFormat="1" ht="19.5" customHeight="1" thickBot="1">
      <c r="A42" s="115" t="s">
        <v>122</v>
      </c>
      <c r="B42" s="115"/>
      <c r="C42" s="115"/>
      <c r="D42" s="115"/>
      <c r="E42" s="115"/>
      <c r="F42" s="115"/>
      <c r="G42" s="115"/>
      <c r="H42" s="115"/>
      <c r="I42" s="115"/>
      <c r="J42" s="115"/>
      <c r="K42" s="115"/>
      <c r="L42" s="115"/>
      <c r="M42" s="115"/>
      <c r="N42" s="115"/>
      <c r="O42" s="115"/>
      <c r="P42" s="115"/>
      <c r="Q42" s="115"/>
      <c r="R42" s="115"/>
      <c r="S42" s="115"/>
    </row>
    <row r="43" s="15" customFormat="1" ht="15.75" thickTop="1"/>
    <row r="44" s="15" customFormat="1" ht="15"/>
    <row r="45" s="15" customFormat="1" ht="15"/>
    <row r="46" s="15" customFormat="1" ht="15"/>
    <row r="47" s="15" customFormat="1" ht="15"/>
    <row r="48" s="15" customFormat="1" ht="15"/>
    <row r="49" s="15" customFormat="1" ht="15"/>
    <row r="50" s="15" customFormat="1" ht="15"/>
    <row r="51" s="15" customFormat="1" ht="15"/>
    <row r="52" s="15" customFormat="1" ht="15"/>
    <row r="53" s="15" customFormat="1" ht="15"/>
    <row r="54" s="15" customFormat="1" ht="15"/>
    <row r="55" s="15" customFormat="1" ht="15"/>
    <row r="56" s="15" customFormat="1" ht="15"/>
    <row r="57" s="15" customFormat="1" ht="15"/>
    <row r="58" s="15" customFormat="1" ht="15"/>
    <row r="59" s="15" customFormat="1" ht="15"/>
    <row r="60" s="15" customFormat="1" ht="15"/>
    <row r="61" s="15" customFormat="1" ht="15"/>
    <row r="62" s="15" customFormat="1" ht="15"/>
    <row r="63" s="15" customFormat="1" ht="15"/>
    <row r="64" s="15" customFormat="1" ht="15"/>
    <row r="65" s="15" customFormat="1" ht="15"/>
    <row r="66" s="15" customFormat="1" ht="15"/>
    <row r="67" s="15" customFormat="1" ht="15"/>
    <row r="68" s="15" customFormat="1" ht="15"/>
    <row r="69" s="15" customFormat="1" ht="15"/>
    <row r="70" s="15" customFormat="1" ht="15"/>
  </sheetData>
  <printOptions/>
  <pageMargins left="0.5" right="0.5" top="0.75" bottom="0.75" header="0.5" footer="0.5"/>
  <pageSetup fitToHeight="1" fitToWidth="1" horizontalDpi="600" verticalDpi="600" orientation="landscape" scale="52" r:id="rId1"/>
</worksheet>
</file>

<file path=xl/worksheets/sheet7.xml><?xml version="1.0" encoding="utf-8"?>
<worksheet xmlns="http://schemas.openxmlformats.org/spreadsheetml/2006/main" xmlns:r="http://schemas.openxmlformats.org/officeDocument/2006/relationships">
  <sheetPr>
    <pageSetUpPr fitToPage="1"/>
  </sheetPr>
  <dimension ref="A1:S40"/>
  <sheetViews>
    <sheetView zoomScale="75" zoomScaleNormal="75" workbookViewId="0" topLeftCell="A24">
      <selection activeCell="D15" sqref="D15"/>
    </sheetView>
  </sheetViews>
  <sheetFormatPr defaultColWidth="9.00390625" defaultRowHeight="15.75"/>
  <cols>
    <col min="1" max="1" width="3.125" style="0" customWidth="1"/>
    <col min="2" max="2" width="21.875" style="0" customWidth="1"/>
    <col min="3" max="3" width="5.375" style="0" bestFit="1" customWidth="1"/>
    <col min="4" max="4" width="11.50390625" style="0" customWidth="1"/>
    <col min="5" max="5" width="11.125" style="0" bestFit="1" customWidth="1"/>
    <col min="6" max="6" width="13.50390625" style="0" bestFit="1" customWidth="1"/>
    <col min="7" max="7" width="13.625" style="0" customWidth="1"/>
    <col min="8" max="8" width="12.25390625" style="0" customWidth="1"/>
    <col min="9" max="9" width="10.50390625" style="0" bestFit="1" customWidth="1"/>
    <col min="10" max="10" width="10.25390625" style="0" bestFit="1" customWidth="1"/>
    <col min="11" max="13" width="7.125" style="0" customWidth="1"/>
    <col min="14" max="19" width="8.25390625" style="0" customWidth="1"/>
  </cols>
  <sheetData>
    <row r="1" spans="1:19" ht="18.75" thickTop="1">
      <c r="A1" s="113" t="s">
        <v>104</v>
      </c>
      <c r="B1" s="116"/>
      <c r="C1" s="116"/>
      <c r="D1" s="116"/>
      <c r="E1" s="116"/>
      <c r="F1" s="116"/>
      <c r="G1" s="116"/>
      <c r="H1" s="116"/>
      <c r="I1" s="116"/>
      <c r="J1" s="116"/>
      <c r="K1" s="116"/>
      <c r="L1" s="116"/>
      <c r="M1" s="116"/>
      <c r="N1" s="116"/>
      <c r="O1" s="116"/>
      <c r="P1" s="116"/>
      <c r="Q1" s="116"/>
      <c r="R1" s="116"/>
      <c r="S1" s="116"/>
    </row>
    <row r="2" spans="1:14" ht="18">
      <c r="A2" s="13" t="s">
        <v>97</v>
      </c>
      <c r="C2" s="6"/>
      <c r="D2" s="9"/>
      <c r="E2" s="6"/>
      <c r="F2" s="6"/>
      <c r="G2" s="6"/>
      <c r="H2" s="6"/>
      <c r="I2" s="6"/>
      <c r="J2" s="6"/>
      <c r="K2" s="6"/>
      <c r="L2" s="6"/>
      <c r="M2" s="6"/>
      <c r="N2" s="6"/>
    </row>
    <row r="3" spans="1:14" ht="18">
      <c r="A3" s="13" t="s">
        <v>109</v>
      </c>
      <c r="C3" s="6"/>
      <c r="D3" s="9"/>
      <c r="E3" s="6"/>
      <c r="F3" s="6"/>
      <c r="G3" s="6"/>
      <c r="H3" s="6"/>
      <c r="I3" s="6"/>
      <c r="J3" s="6"/>
      <c r="K3" s="6"/>
      <c r="L3" s="6"/>
      <c r="M3" s="6"/>
      <c r="N3" s="6"/>
    </row>
    <row r="4" spans="1:14" ht="15.75">
      <c r="A4" s="15" t="s">
        <v>115</v>
      </c>
      <c r="B4" s="15"/>
      <c r="C4" s="15"/>
      <c r="D4" s="14">
        <v>0.03</v>
      </c>
      <c r="E4" s="6"/>
      <c r="F4" s="6"/>
      <c r="G4" s="6"/>
      <c r="H4" s="6"/>
      <c r="I4" s="6"/>
      <c r="J4" s="6"/>
      <c r="K4" s="6"/>
      <c r="L4" s="6"/>
      <c r="M4" s="6"/>
      <c r="N4" s="6"/>
    </row>
    <row r="5" spans="2:14" ht="19.5" customHeight="1">
      <c r="B5" s="11"/>
      <c r="C5" s="10"/>
      <c r="D5" s="9"/>
      <c r="E5" s="6"/>
      <c r="F5" s="6"/>
      <c r="G5" s="6"/>
      <c r="H5" s="6"/>
      <c r="I5" s="6"/>
      <c r="J5" s="6"/>
      <c r="K5" s="6"/>
      <c r="L5" s="6"/>
      <c r="M5" s="6"/>
      <c r="N5" s="6"/>
    </row>
    <row r="6" spans="1:19" ht="19.5" customHeight="1">
      <c r="A6" s="47"/>
      <c r="B6" s="47"/>
      <c r="C6" s="47"/>
      <c r="D6" s="77"/>
      <c r="E6" s="78" t="s">
        <v>3</v>
      </c>
      <c r="F6" s="78" t="s">
        <v>4</v>
      </c>
      <c r="G6" s="78" t="s">
        <v>5</v>
      </c>
      <c r="H6" s="78" t="s">
        <v>6</v>
      </c>
      <c r="I6" s="78" t="s">
        <v>7</v>
      </c>
      <c r="J6" s="78" t="s">
        <v>8</v>
      </c>
      <c r="K6" s="78" t="s">
        <v>9</v>
      </c>
      <c r="L6" s="78" t="s">
        <v>10</v>
      </c>
      <c r="M6" s="78" t="s">
        <v>11</v>
      </c>
      <c r="N6" s="78" t="s">
        <v>12</v>
      </c>
      <c r="O6" s="78" t="s">
        <v>13</v>
      </c>
      <c r="P6" s="78" t="s">
        <v>14</v>
      </c>
      <c r="Q6" s="78" t="s">
        <v>15</v>
      </c>
      <c r="R6" s="78" t="s">
        <v>16</v>
      </c>
      <c r="S6" s="78" t="s">
        <v>17</v>
      </c>
    </row>
    <row r="7" spans="1:19" ht="19.5" customHeight="1">
      <c r="A7" s="53"/>
      <c r="B7" s="53"/>
      <c r="C7" s="53"/>
      <c r="D7" s="79"/>
      <c r="E7" s="80"/>
      <c r="F7" s="80"/>
      <c r="G7" s="80"/>
      <c r="H7" s="80"/>
      <c r="I7" s="80"/>
      <c r="J7" s="80"/>
      <c r="K7" s="80"/>
      <c r="L7" s="80"/>
      <c r="M7" s="80"/>
      <c r="N7" s="80"/>
      <c r="O7" s="80"/>
      <c r="P7" s="80"/>
      <c r="Q7" s="80"/>
      <c r="R7" s="80"/>
      <c r="S7" s="80"/>
    </row>
    <row r="8" spans="1:19" s="7" customFormat="1" ht="19.5" customHeight="1">
      <c r="A8" s="52"/>
      <c r="B8" s="52" t="s">
        <v>125</v>
      </c>
      <c r="C8" s="51"/>
      <c r="D8" s="81"/>
      <c r="E8" s="81"/>
      <c r="F8" s="81"/>
      <c r="G8" s="81"/>
      <c r="H8" s="81"/>
      <c r="I8" s="81"/>
      <c r="J8" s="81"/>
      <c r="K8" s="81"/>
      <c r="L8" s="81"/>
      <c r="M8" s="81"/>
      <c r="N8" s="81"/>
      <c r="O8" s="51"/>
      <c r="P8" s="51"/>
      <c r="Q8" s="51"/>
      <c r="R8" s="51"/>
      <c r="S8" s="51"/>
    </row>
    <row r="9" spans="1:19" ht="19.5" customHeight="1">
      <c r="A9" s="20"/>
      <c r="B9" s="20" t="s">
        <v>55</v>
      </c>
      <c r="C9" s="21"/>
      <c r="D9" s="28">
        <f>+D4</f>
        <v>0.03</v>
      </c>
      <c r="E9" s="22">
        <f>1+D9</f>
        <v>1.03</v>
      </c>
      <c r="F9" s="22">
        <f aca="true" t="shared" si="0" ref="F9:S9">E9*(1+$D$9)</f>
        <v>1.0609</v>
      </c>
      <c r="G9" s="22">
        <f t="shared" si="0"/>
        <v>1.092727</v>
      </c>
      <c r="H9" s="22">
        <f t="shared" si="0"/>
        <v>1.1255088100000001</v>
      </c>
      <c r="I9" s="22">
        <f t="shared" si="0"/>
        <v>1.1592740743</v>
      </c>
      <c r="J9" s="22">
        <f t="shared" si="0"/>
        <v>1.1940522965290001</v>
      </c>
      <c r="K9" s="22">
        <f t="shared" si="0"/>
        <v>1.2298738654248702</v>
      </c>
      <c r="L9" s="22">
        <f t="shared" si="0"/>
        <v>1.2667700813876164</v>
      </c>
      <c r="M9" s="22">
        <f t="shared" si="0"/>
        <v>1.304773183829245</v>
      </c>
      <c r="N9" s="22">
        <f t="shared" si="0"/>
        <v>1.3439163793441222</v>
      </c>
      <c r="O9" s="22">
        <f t="shared" si="0"/>
        <v>1.384233870724446</v>
      </c>
      <c r="P9" s="22">
        <f t="shared" si="0"/>
        <v>1.4257608868461793</v>
      </c>
      <c r="Q9" s="22">
        <f t="shared" si="0"/>
        <v>1.4685337134515648</v>
      </c>
      <c r="R9" s="22">
        <f t="shared" si="0"/>
        <v>1.512589724855112</v>
      </c>
      <c r="S9" s="22">
        <f t="shared" si="0"/>
        <v>1.5579674166007653</v>
      </c>
    </row>
    <row r="10" spans="1:19" ht="19.5" customHeight="1">
      <c r="A10" s="19"/>
      <c r="B10" s="19" t="s">
        <v>56</v>
      </c>
      <c r="C10" s="21"/>
      <c r="D10" s="23">
        <f>+'Development Program'!C11</f>
        <v>100</v>
      </c>
      <c r="E10" s="22"/>
      <c r="F10" s="22"/>
      <c r="G10" s="22"/>
      <c r="H10" s="22"/>
      <c r="I10" s="22"/>
      <c r="J10" s="22"/>
      <c r="K10" s="22"/>
      <c r="L10" s="22"/>
      <c r="M10" s="22"/>
      <c r="N10" s="22"/>
      <c r="O10" s="19"/>
      <c r="P10" s="19"/>
      <c r="Q10" s="19"/>
      <c r="R10" s="19"/>
      <c r="S10" s="19"/>
    </row>
    <row r="11" spans="1:19" ht="19.5" customHeight="1">
      <c r="A11" s="25"/>
      <c r="B11" s="25" t="s">
        <v>123</v>
      </c>
      <c r="C11" s="26"/>
      <c r="D11" s="82">
        <v>1600</v>
      </c>
      <c r="E11" s="24">
        <f>IF('Development Program'!F11&gt;0,('Development Program'!F11-'Development Program'!E11)*$D$11,0)</f>
        <v>0</v>
      </c>
      <c r="F11" s="24">
        <f>IF('Development Program'!G11&gt;0,('Development Program'!G11-'Development Program'!F11)*$D$11,0)</f>
        <v>48000</v>
      </c>
      <c r="G11" s="24">
        <f>IF('Development Program'!H11&gt;0,('Development Program'!H11-'Development Program'!G11)*$D$11,0)</f>
        <v>48000</v>
      </c>
      <c r="H11" s="24">
        <f>IF('Development Program'!I11&gt;0,('Development Program'!I11-'Development Program'!H11)*$D$11,0)</f>
        <v>64000</v>
      </c>
      <c r="I11" s="24">
        <f>IF('Development Program'!J11&gt;0,('Development Program'!J11-'Development Program'!I11)*$D$11,0)</f>
        <v>0</v>
      </c>
      <c r="J11" s="24">
        <f>IF('Development Program'!K11&gt;0,('Development Program'!K11-'Development Program'!J11)*$D$11,0)</f>
        <v>0</v>
      </c>
      <c r="K11" s="24">
        <f>IF('Development Program'!L11&gt;0,('Development Program'!L11-'Development Program'!K11)*$D$11,0)</f>
        <v>0</v>
      </c>
      <c r="L11" s="24">
        <f>IF('Development Program'!M11&gt;0,('Development Program'!M11-'Development Program'!L11)*$D$11,0)</f>
        <v>0</v>
      </c>
      <c r="M11" s="24">
        <f>IF('Development Program'!N11&gt;0,('Development Program'!N11-'Development Program'!M11)*$D$11,0)</f>
        <v>0</v>
      </c>
      <c r="N11" s="24">
        <f>IF('Development Program'!O11&gt;0,('Development Program'!O11-'Development Program'!N11)*$D$11,0)</f>
        <v>0</v>
      </c>
      <c r="O11" s="24">
        <f>IF('Development Program'!P11&gt;0,('Development Program'!P11-'Development Program'!O11)*$D$11,0)</f>
        <v>0</v>
      </c>
      <c r="P11" s="24">
        <f>IF('Development Program'!Q11&gt;0,('Development Program'!Q11-'Development Program'!P11)*$D$11,0)</f>
        <v>0</v>
      </c>
      <c r="Q11" s="24">
        <f>IF('Development Program'!R11&gt;0,('Development Program'!R11-'Development Program'!Q11)*$D$11,0)</f>
        <v>0</v>
      </c>
      <c r="R11" s="24">
        <f>IF('Development Program'!S11&gt;0,('Development Program'!S11-'Development Program'!R11)*$D$11,0)</f>
        <v>0</v>
      </c>
      <c r="S11" s="24">
        <f>IF('Development Program'!T11&gt;0,('Development Program'!T11-'Development Program'!S11)*$D$11,0)</f>
        <v>0</v>
      </c>
    </row>
    <row r="12" spans="1:19" ht="19.5" customHeight="1">
      <c r="A12" s="25"/>
      <c r="B12" s="25" t="s">
        <v>151</v>
      </c>
      <c r="C12" s="26"/>
      <c r="D12" s="271">
        <v>0.84</v>
      </c>
      <c r="E12" s="24">
        <f>+E11*$D$12</f>
        <v>0</v>
      </c>
      <c r="F12" s="24">
        <f aca="true" t="shared" si="1" ref="F12:S12">+F11*$D$12</f>
        <v>40320</v>
      </c>
      <c r="G12" s="24">
        <f t="shared" si="1"/>
        <v>40320</v>
      </c>
      <c r="H12" s="24">
        <f t="shared" si="1"/>
        <v>53760</v>
      </c>
      <c r="I12" s="24">
        <f t="shared" si="1"/>
        <v>0</v>
      </c>
      <c r="J12" s="24">
        <f t="shared" si="1"/>
        <v>0</v>
      </c>
      <c r="K12" s="24">
        <f t="shared" si="1"/>
        <v>0</v>
      </c>
      <c r="L12" s="24">
        <f t="shared" si="1"/>
        <v>0</v>
      </c>
      <c r="M12" s="24">
        <f t="shared" si="1"/>
        <v>0</v>
      </c>
      <c r="N12" s="24">
        <f t="shared" si="1"/>
        <v>0</v>
      </c>
      <c r="O12" s="24">
        <f t="shared" si="1"/>
        <v>0</v>
      </c>
      <c r="P12" s="24">
        <f t="shared" si="1"/>
        <v>0</v>
      </c>
      <c r="Q12" s="24">
        <f t="shared" si="1"/>
        <v>0</v>
      </c>
      <c r="R12" s="24">
        <f t="shared" si="1"/>
        <v>0</v>
      </c>
      <c r="S12" s="24">
        <f t="shared" si="1"/>
        <v>0</v>
      </c>
    </row>
    <row r="13" spans="1:19" ht="19.5" customHeight="1">
      <c r="A13" s="83"/>
      <c r="B13" s="83" t="s">
        <v>124</v>
      </c>
      <c r="C13" s="62"/>
      <c r="D13" s="27">
        <v>220</v>
      </c>
      <c r="E13" s="63"/>
      <c r="F13" s="63"/>
      <c r="G13" s="63"/>
      <c r="H13" s="63"/>
      <c r="I13" s="63"/>
      <c r="J13" s="63"/>
      <c r="K13" s="63"/>
      <c r="L13" s="63"/>
      <c r="M13" s="63"/>
      <c r="N13" s="63"/>
      <c r="O13" s="63"/>
      <c r="P13" s="63"/>
      <c r="Q13" s="63"/>
      <c r="R13" s="63"/>
      <c r="S13" s="63"/>
    </row>
    <row r="14" spans="1:19" ht="19.5" customHeight="1">
      <c r="A14" s="20"/>
      <c r="B14" s="20"/>
      <c r="C14" s="19"/>
      <c r="D14" s="30"/>
      <c r="E14" s="31"/>
      <c r="F14" s="32"/>
      <c r="G14" s="32"/>
      <c r="H14" s="32"/>
      <c r="I14" s="32"/>
      <c r="J14" s="32"/>
      <c r="K14" s="32"/>
      <c r="L14" s="32"/>
      <c r="M14" s="32"/>
      <c r="N14" s="32"/>
      <c r="O14" s="32"/>
      <c r="P14" s="32"/>
      <c r="Q14" s="32"/>
      <c r="R14" s="32"/>
      <c r="S14" s="32"/>
    </row>
    <row r="15" spans="1:19" ht="19.5" customHeight="1">
      <c r="A15" s="84"/>
      <c r="B15" s="84"/>
      <c r="C15" s="53"/>
      <c r="D15" s="85"/>
      <c r="E15" s="86"/>
      <c r="F15" s="87"/>
      <c r="G15" s="87"/>
      <c r="H15" s="87"/>
      <c r="I15" s="87"/>
      <c r="J15" s="87"/>
      <c r="K15" s="87"/>
      <c r="L15" s="87"/>
      <c r="M15" s="87"/>
      <c r="N15" s="87"/>
      <c r="O15" s="87"/>
      <c r="P15" s="87"/>
      <c r="Q15" s="87"/>
      <c r="R15" s="87"/>
      <c r="S15" s="87"/>
    </row>
    <row r="16" spans="1:19" s="7" customFormat="1" ht="19.5" customHeight="1">
      <c r="A16" s="52"/>
      <c r="B16" s="52" t="s">
        <v>86</v>
      </c>
      <c r="C16" s="51"/>
      <c r="D16" s="81"/>
      <c r="E16" s="81"/>
      <c r="F16" s="81"/>
      <c r="G16" s="81"/>
      <c r="H16" s="81"/>
      <c r="I16" s="81"/>
      <c r="J16" s="81"/>
      <c r="K16" s="81"/>
      <c r="L16" s="81"/>
      <c r="M16" s="81"/>
      <c r="N16" s="81"/>
      <c r="O16" s="51"/>
      <c r="P16" s="51"/>
      <c r="Q16" s="51"/>
      <c r="R16" s="51"/>
      <c r="S16" s="51"/>
    </row>
    <row r="17" spans="1:19" ht="19.5" customHeight="1">
      <c r="A17" s="20"/>
      <c r="B17" s="20" t="s">
        <v>59</v>
      </c>
      <c r="C17" s="19"/>
      <c r="D17" s="33"/>
      <c r="E17" s="34">
        <f>E9*E12*$D$13/1000</f>
        <v>0</v>
      </c>
      <c r="F17" s="34">
        <f aca="true" t="shared" si="2" ref="F17:S17">F9*F12*$D$13/1000</f>
        <v>9410.60736</v>
      </c>
      <c r="G17" s="34">
        <f t="shared" si="2"/>
        <v>9692.9255808</v>
      </c>
      <c r="H17" s="34">
        <f t="shared" si="2"/>
        <v>13311.617797632001</v>
      </c>
      <c r="I17" s="34">
        <f t="shared" si="2"/>
        <v>0</v>
      </c>
      <c r="J17" s="34">
        <f t="shared" si="2"/>
        <v>0</v>
      </c>
      <c r="K17" s="34">
        <f t="shared" si="2"/>
        <v>0</v>
      </c>
      <c r="L17" s="34">
        <f t="shared" si="2"/>
        <v>0</v>
      </c>
      <c r="M17" s="34">
        <f t="shared" si="2"/>
        <v>0</v>
      </c>
      <c r="N17" s="34">
        <f t="shared" si="2"/>
        <v>0</v>
      </c>
      <c r="O17" s="34">
        <f t="shared" si="2"/>
        <v>0</v>
      </c>
      <c r="P17" s="34">
        <f t="shared" si="2"/>
        <v>0</v>
      </c>
      <c r="Q17" s="34">
        <f t="shared" si="2"/>
        <v>0</v>
      </c>
      <c r="R17" s="34">
        <f t="shared" si="2"/>
        <v>0</v>
      </c>
      <c r="S17" s="34">
        <f t="shared" si="2"/>
        <v>0</v>
      </c>
    </row>
    <row r="18" spans="1:19" ht="19.5" customHeight="1">
      <c r="A18" s="19"/>
      <c r="B18" s="19" t="s">
        <v>141</v>
      </c>
      <c r="C18" s="19"/>
      <c r="D18" s="28">
        <v>0.15</v>
      </c>
      <c r="E18" s="38">
        <f>$D$19*E17</f>
        <v>0</v>
      </c>
      <c r="F18" s="38">
        <f>$D$18*F17</f>
        <v>1411.5911039999999</v>
      </c>
      <c r="G18" s="38">
        <f aca="true" t="shared" si="3" ref="G18:N18">$D$18*G17</f>
        <v>1453.93883712</v>
      </c>
      <c r="H18" s="38">
        <f t="shared" si="3"/>
        <v>1996.7426696448001</v>
      </c>
      <c r="I18" s="38">
        <f t="shared" si="3"/>
        <v>0</v>
      </c>
      <c r="J18" s="38">
        <f t="shared" si="3"/>
        <v>0</v>
      </c>
      <c r="K18" s="38">
        <f t="shared" si="3"/>
        <v>0</v>
      </c>
      <c r="L18" s="38">
        <f t="shared" si="3"/>
        <v>0</v>
      </c>
      <c r="M18" s="38">
        <f t="shared" si="3"/>
        <v>0</v>
      </c>
      <c r="N18" s="38">
        <f t="shared" si="3"/>
        <v>0</v>
      </c>
      <c r="O18" s="38">
        <f>$D$19*O17</f>
        <v>0</v>
      </c>
      <c r="P18" s="38">
        <f>$D$19*P17</f>
        <v>0</v>
      </c>
      <c r="Q18" s="38">
        <f>$D$19*Q17</f>
        <v>0</v>
      </c>
      <c r="R18" s="38">
        <f>$D$19*R17</f>
        <v>0</v>
      </c>
      <c r="S18" s="38">
        <f>$D$19*S17</f>
        <v>0</v>
      </c>
    </row>
    <row r="19" spans="1:19" ht="19.5" customHeight="1">
      <c r="A19" s="19"/>
      <c r="B19" s="19" t="s">
        <v>126</v>
      </c>
      <c r="C19" s="19"/>
      <c r="D19" s="28">
        <v>0.05</v>
      </c>
      <c r="E19" s="38">
        <f>$D$19*E17</f>
        <v>0</v>
      </c>
      <c r="F19" s="38">
        <f aca="true" t="shared" si="4" ref="F19:S19">$D$19*F17</f>
        <v>470.530368</v>
      </c>
      <c r="G19" s="38">
        <f t="shared" si="4"/>
        <v>484.64627904</v>
      </c>
      <c r="H19" s="38">
        <f t="shared" si="4"/>
        <v>665.5808898816001</v>
      </c>
      <c r="I19" s="38">
        <f t="shared" si="4"/>
        <v>0</v>
      </c>
      <c r="J19" s="38">
        <f t="shared" si="4"/>
        <v>0</v>
      </c>
      <c r="K19" s="38">
        <f t="shared" si="4"/>
        <v>0</v>
      </c>
      <c r="L19" s="38">
        <f t="shared" si="4"/>
        <v>0</v>
      </c>
      <c r="M19" s="38">
        <f t="shared" si="4"/>
        <v>0</v>
      </c>
      <c r="N19" s="38">
        <f t="shared" si="4"/>
        <v>0</v>
      </c>
      <c r="O19" s="38">
        <f t="shared" si="4"/>
        <v>0</v>
      </c>
      <c r="P19" s="38">
        <f t="shared" si="4"/>
        <v>0</v>
      </c>
      <c r="Q19" s="38">
        <f t="shared" si="4"/>
        <v>0</v>
      </c>
      <c r="R19" s="38">
        <f t="shared" si="4"/>
        <v>0</v>
      </c>
      <c r="S19" s="38">
        <f t="shared" si="4"/>
        <v>0</v>
      </c>
    </row>
    <row r="20" spans="1:19" ht="19.5" customHeight="1">
      <c r="A20" s="54"/>
      <c r="B20" s="54" t="s">
        <v>86</v>
      </c>
      <c r="C20" s="53"/>
      <c r="D20" s="53"/>
      <c r="E20" s="55">
        <f aca="true" t="shared" si="5" ref="E20:S20">E17-E19</f>
        <v>0</v>
      </c>
      <c r="F20" s="55">
        <f t="shared" si="5"/>
        <v>8940.076992</v>
      </c>
      <c r="G20" s="55">
        <f t="shared" si="5"/>
        <v>9208.27930176</v>
      </c>
      <c r="H20" s="55">
        <f t="shared" si="5"/>
        <v>12646.036907750402</v>
      </c>
      <c r="I20" s="55">
        <f t="shared" si="5"/>
        <v>0</v>
      </c>
      <c r="J20" s="55">
        <f t="shared" si="5"/>
        <v>0</v>
      </c>
      <c r="K20" s="55">
        <f t="shared" si="5"/>
        <v>0</v>
      </c>
      <c r="L20" s="55">
        <f t="shared" si="5"/>
        <v>0</v>
      </c>
      <c r="M20" s="55">
        <f t="shared" si="5"/>
        <v>0</v>
      </c>
      <c r="N20" s="55">
        <f t="shared" si="5"/>
        <v>0</v>
      </c>
      <c r="O20" s="55">
        <f t="shared" si="5"/>
        <v>0</v>
      </c>
      <c r="P20" s="55">
        <f t="shared" si="5"/>
        <v>0</v>
      </c>
      <c r="Q20" s="55">
        <f t="shared" si="5"/>
        <v>0</v>
      </c>
      <c r="R20" s="55">
        <f t="shared" si="5"/>
        <v>0</v>
      </c>
      <c r="S20" s="55">
        <f t="shared" si="5"/>
        <v>0</v>
      </c>
    </row>
    <row r="21" spans="1:19" ht="19.5" customHeight="1">
      <c r="A21" s="40"/>
      <c r="B21" s="40"/>
      <c r="C21" s="19"/>
      <c r="D21" s="19"/>
      <c r="E21" s="45"/>
      <c r="F21" s="45"/>
      <c r="G21" s="45"/>
      <c r="H21" s="45"/>
      <c r="I21" s="45"/>
      <c r="J21" s="45"/>
      <c r="K21" s="45"/>
      <c r="L21" s="45"/>
      <c r="M21" s="45"/>
      <c r="N21" s="45"/>
      <c r="O21" s="45"/>
      <c r="P21" s="45"/>
      <c r="Q21" s="45"/>
      <c r="R21" s="45"/>
      <c r="S21" s="45"/>
    </row>
    <row r="22" spans="1:19" ht="19.5" customHeight="1">
      <c r="A22" s="54"/>
      <c r="B22" s="54"/>
      <c r="C22" s="53"/>
      <c r="D22" s="53"/>
      <c r="E22" s="59"/>
      <c r="F22" s="59"/>
      <c r="G22" s="59"/>
      <c r="H22" s="59"/>
      <c r="I22" s="59"/>
      <c r="J22" s="59"/>
      <c r="K22" s="59"/>
      <c r="L22" s="59"/>
      <c r="M22" s="59"/>
      <c r="N22" s="59"/>
      <c r="O22" s="59"/>
      <c r="P22" s="59"/>
      <c r="Q22" s="59"/>
      <c r="R22" s="59"/>
      <c r="S22" s="59"/>
    </row>
    <row r="23" spans="1:19" s="7" customFormat="1" ht="19.5" customHeight="1">
      <c r="A23" s="56"/>
      <c r="B23" s="56" t="s">
        <v>88</v>
      </c>
      <c r="C23" s="51"/>
      <c r="D23" s="51"/>
      <c r="E23" s="51"/>
      <c r="F23" s="51"/>
      <c r="G23" s="51"/>
      <c r="H23" s="51"/>
      <c r="I23" s="51"/>
      <c r="J23" s="51"/>
      <c r="K23" s="51"/>
      <c r="L23" s="51"/>
      <c r="M23" s="51"/>
      <c r="N23" s="51"/>
      <c r="O23" s="51"/>
      <c r="P23" s="51"/>
      <c r="Q23" s="51"/>
      <c r="R23" s="51"/>
      <c r="S23" s="51"/>
    </row>
    <row r="24" spans="1:19" ht="19.5" customHeight="1">
      <c r="A24" s="19"/>
      <c r="B24" s="19" t="s">
        <v>89</v>
      </c>
      <c r="C24" s="19"/>
      <c r="D24" s="19"/>
      <c r="E24" s="42">
        <f aca="true" t="shared" si="6" ref="E24:S24">+F11/($D$11*$D$10)</f>
        <v>0.3</v>
      </c>
      <c r="F24" s="42">
        <f t="shared" si="6"/>
        <v>0.3</v>
      </c>
      <c r="G24" s="42">
        <f t="shared" si="6"/>
        <v>0.4</v>
      </c>
      <c r="H24" s="42">
        <f t="shared" si="6"/>
        <v>0</v>
      </c>
      <c r="I24" s="42">
        <f t="shared" si="6"/>
        <v>0</v>
      </c>
      <c r="J24" s="42">
        <f t="shared" si="6"/>
        <v>0</v>
      </c>
      <c r="K24" s="42">
        <f t="shared" si="6"/>
        <v>0</v>
      </c>
      <c r="L24" s="42">
        <f t="shared" si="6"/>
        <v>0</v>
      </c>
      <c r="M24" s="42">
        <f t="shared" si="6"/>
        <v>0</v>
      </c>
      <c r="N24" s="42">
        <f t="shared" si="6"/>
        <v>0</v>
      </c>
      <c r="O24" s="42">
        <f t="shared" si="6"/>
        <v>0</v>
      </c>
      <c r="P24" s="42">
        <f t="shared" si="6"/>
        <v>0</v>
      </c>
      <c r="Q24" s="42">
        <f t="shared" si="6"/>
        <v>0</v>
      </c>
      <c r="R24" s="42">
        <f t="shared" si="6"/>
        <v>0</v>
      </c>
      <c r="S24" s="42">
        <f t="shared" si="6"/>
        <v>0</v>
      </c>
    </row>
    <row r="25" spans="1:19" ht="19.5" customHeight="1">
      <c r="A25" s="19"/>
      <c r="B25" s="19" t="s">
        <v>88</v>
      </c>
      <c r="C25" s="19"/>
      <c r="D25" s="41">
        <f>+'Development Costs'!I14*'For-sale housing'!D10/1000</f>
        <v>24750</v>
      </c>
      <c r="E25" s="268">
        <f aca="true" t="shared" si="7" ref="E25:S25">+E24*$D$25*E9</f>
        <v>7647.75</v>
      </c>
      <c r="F25" s="268">
        <f t="shared" si="7"/>
        <v>7877.1825</v>
      </c>
      <c r="G25" s="268">
        <f t="shared" si="7"/>
        <v>10817.9973</v>
      </c>
      <c r="H25" s="268">
        <f t="shared" si="7"/>
        <v>0</v>
      </c>
      <c r="I25" s="268">
        <f t="shared" si="7"/>
        <v>0</v>
      </c>
      <c r="J25" s="268">
        <f t="shared" si="7"/>
        <v>0</v>
      </c>
      <c r="K25" s="268">
        <f t="shared" si="7"/>
        <v>0</v>
      </c>
      <c r="L25" s="268">
        <f t="shared" si="7"/>
        <v>0</v>
      </c>
      <c r="M25" s="268">
        <f t="shared" si="7"/>
        <v>0</v>
      </c>
      <c r="N25" s="268">
        <f t="shared" si="7"/>
        <v>0</v>
      </c>
      <c r="O25" s="268">
        <f t="shared" si="7"/>
        <v>0</v>
      </c>
      <c r="P25" s="268">
        <f t="shared" si="7"/>
        <v>0</v>
      </c>
      <c r="Q25" s="268">
        <f t="shared" si="7"/>
        <v>0</v>
      </c>
      <c r="R25" s="268">
        <f t="shared" si="7"/>
        <v>0</v>
      </c>
      <c r="S25" s="268">
        <f t="shared" si="7"/>
        <v>0</v>
      </c>
    </row>
    <row r="26" spans="1:19" ht="19.5" customHeight="1">
      <c r="A26" s="19"/>
      <c r="B26" s="19" t="s">
        <v>139</v>
      </c>
      <c r="C26" s="19"/>
      <c r="D26" s="267"/>
      <c r="E26" s="268">
        <f>+'Infrastructure Costs'!E13</f>
        <v>890.5828153564898</v>
      </c>
      <c r="F26" s="268">
        <f>+'Infrastructure Costs'!F13</f>
        <v>0</v>
      </c>
      <c r="G26" s="268">
        <f>+'Infrastructure Costs'!G13</f>
        <v>0</v>
      </c>
      <c r="H26" s="268">
        <f>+'Infrastructure Costs'!H13</f>
        <v>0</v>
      </c>
      <c r="I26" s="268">
        <f>+'Infrastructure Costs'!I13</f>
        <v>0</v>
      </c>
      <c r="J26" s="268">
        <f>+'Infrastructure Costs'!J13</f>
        <v>0</v>
      </c>
      <c r="K26" s="268">
        <f>+'Infrastructure Costs'!K13</f>
        <v>0</v>
      </c>
      <c r="L26" s="268">
        <f>+'Infrastructure Costs'!L13</f>
        <v>0</v>
      </c>
      <c r="M26" s="268">
        <f>+'Infrastructure Costs'!M13</f>
        <v>0</v>
      </c>
      <c r="N26" s="268">
        <f>+'Infrastructure Costs'!N13</f>
        <v>0</v>
      </c>
      <c r="O26" s="268">
        <f>+'Infrastructure Costs'!O13</f>
        <v>0</v>
      </c>
      <c r="P26" s="268">
        <f>+'Infrastructure Costs'!P13</f>
        <v>0</v>
      </c>
      <c r="Q26" s="268">
        <f>+'Infrastructure Costs'!Q13</f>
        <v>0</v>
      </c>
      <c r="R26" s="268">
        <f>+'Infrastructure Costs'!R13</f>
        <v>0</v>
      </c>
      <c r="S26" s="268">
        <f>+'Infrastructure Costs'!S13</f>
        <v>0</v>
      </c>
    </row>
    <row r="27" spans="1:19" s="4" customFormat="1" ht="19.5" customHeight="1">
      <c r="A27" s="54"/>
      <c r="B27" s="54" t="s">
        <v>96</v>
      </c>
      <c r="C27" s="54"/>
      <c r="D27" s="54"/>
      <c r="E27" s="103">
        <f>+E26+E25</f>
        <v>8538.33281535649</v>
      </c>
      <c r="F27" s="103">
        <f aca="true" t="shared" si="8" ref="F27:S27">+F26+F25</f>
        <v>7877.1825</v>
      </c>
      <c r="G27" s="103">
        <f t="shared" si="8"/>
        <v>10817.9973</v>
      </c>
      <c r="H27" s="103">
        <f t="shared" si="8"/>
        <v>0</v>
      </c>
      <c r="I27" s="103">
        <f t="shared" si="8"/>
        <v>0</v>
      </c>
      <c r="J27" s="103">
        <f t="shared" si="8"/>
        <v>0</v>
      </c>
      <c r="K27" s="103">
        <f t="shared" si="8"/>
        <v>0</v>
      </c>
      <c r="L27" s="103">
        <f t="shared" si="8"/>
        <v>0</v>
      </c>
      <c r="M27" s="103">
        <f t="shared" si="8"/>
        <v>0</v>
      </c>
      <c r="N27" s="103">
        <f t="shared" si="8"/>
        <v>0</v>
      </c>
      <c r="O27" s="103">
        <f t="shared" si="8"/>
        <v>0</v>
      </c>
      <c r="P27" s="103">
        <f t="shared" si="8"/>
        <v>0</v>
      </c>
      <c r="Q27" s="103">
        <f t="shared" si="8"/>
        <v>0</v>
      </c>
      <c r="R27" s="103">
        <f t="shared" si="8"/>
        <v>0</v>
      </c>
      <c r="S27" s="103">
        <f t="shared" si="8"/>
        <v>0</v>
      </c>
    </row>
    <row r="28" spans="1:19" ht="19.5" customHeight="1">
      <c r="A28" s="19"/>
      <c r="B28" s="19"/>
      <c r="C28" s="19"/>
      <c r="D28" s="19"/>
      <c r="E28" s="19"/>
      <c r="F28" s="19"/>
      <c r="G28" s="19"/>
      <c r="H28" s="19"/>
      <c r="I28" s="19"/>
      <c r="J28" s="19"/>
      <c r="K28" s="19"/>
      <c r="L28" s="19"/>
      <c r="M28" s="19"/>
      <c r="N28" s="19"/>
      <c r="O28" s="19"/>
      <c r="P28" s="19"/>
      <c r="Q28" s="19"/>
      <c r="R28" s="19"/>
      <c r="S28" s="19"/>
    </row>
    <row r="29" spans="1:19" ht="19.5" customHeight="1">
      <c r="A29" s="53"/>
      <c r="B29" s="53"/>
      <c r="C29" s="53"/>
      <c r="D29" s="53"/>
      <c r="E29" s="53"/>
      <c r="F29" s="53"/>
      <c r="G29" s="53"/>
      <c r="H29" s="53"/>
      <c r="I29" s="53"/>
      <c r="J29" s="53"/>
      <c r="K29" s="53"/>
      <c r="L29" s="53"/>
      <c r="M29" s="53"/>
      <c r="N29" s="53"/>
      <c r="O29" s="53"/>
      <c r="P29" s="53"/>
      <c r="Q29" s="53"/>
      <c r="R29" s="53"/>
      <c r="S29" s="53"/>
    </row>
    <row r="30" spans="1:19" s="7" customFormat="1" ht="19.5" customHeight="1">
      <c r="A30" s="56"/>
      <c r="B30" s="56" t="s">
        <v>118</v>
      </c>
      <c r="C30" s="51"/>
      <c r="D30" s="51"/>
      <c r="E30" s="51"/>
      <c r="F30" s="51"/>
      <c r="G30" s="51"/>
      <c r="H30" s="51"/>
      <c r="I30" s="51"/>
      <c r="J30" s="51"/>
      <c r="K30" s="51"/>
      <c r="L30" s="51"/>
      <c r="M30" s="51"/>
      <c r="N30" s="51"/>
      <c r="O30" s="51"/>
      <c r="P30" s="51"/>
      <c r="Q30" s="51"/>
      <c r="R30" s="51"/>
      <c r="S30" s="51"/>
    </row>
    <row r="31" spans="1:19" ht="19.5" customHeight="1">
      <c r="A31" s="19"/>
      <c r="B31" s="19" t="str">
        <f>+B20</f>
        <v>Net Operating Income</v>
      </c>
      <c r="C31" s="19"/>
      <c r="D31" s="19"/>
      <c r="E31" s="104">
        <f>+E20</f>
        <v>0</v>
      </c>
      <c r="F31" s="104">
        <f aca="true" t="shared" si="9" ref="F31:S31">+F20</f>
        <v>8940.076992</v>
      </c>
      <c r="G31" s="104">
        <f t="shared" si="9"/>
        <v>9208.27930176</v>
      </c>
      <c r="H31" s="104">
        <f t="shared" si="9"/>
        <v>12646.036907750402</v>
      </c>
      <c r="I31" s="104">
        <f t="shared" si="9"/>
        <v>0</v>
      </c>
      <c r="J31" s="104">
        <f t="shared" si="9"/>
        <v>0</v>
      </c>
      <c r="K31" s="104">
        <f t="shared" si="9"/>
        <v>0</v>
      </c>
      <c r="L31" s="104">
        <f t="shared" si="9"/>
        <v>0</v>
      </c>
      <c r="M31" s="104">
        <f t="shared" si="9"/>
        <v>0</v>
      </c>
      <c r="N31" s="104">
        <f t="shared" si="9"/>
        <v>0</v>
      </c>
      <c r="O31" s="104">
        <f t="shared" si="9"/>
        <v>0</v>
      </c>
      <c r="P31" s="104">
        <f t="shared" si="9"/>
        <v>0</v>
      </c>
      <c r="Q31" s="104">
        <f t="shared" si="9"/>
        <v>0</v>
      </c>
      <c r="R31" s="104">
        <f t="shared" si="9"/>
        <v>0</v>
      </c>
      <c r="S31" s="104">
        <f t="shared" si="9"/>
        <v>0</v>
      </c>
    </row>
    <row r="32" spans="1:19" ht="19.5" customHeight="1">
      <c r="A32" s="19"/>
      <c r="B32" s="19" t="str">
        <f>+B27</f>
        <v>Total Development Costs</v>
      </c>
      <c r="C32" s="19"/>
      <c r="D32" s="19"/>
      <c r="E32" s="105">
        <f>+E27</f>
        <v>8538.33281535649</v>
      </c>
      <c r="F32" s="105">
        <f aca="true" t="shared" si="10" ref="F32:S32">+F27</f>
        <v>7877.1825</v>
      </c>
      <c r="G32" s="105">
        <f t="shared" si="10"/>
        <v>10817.9973</v>
      </c>
      <c r="H32" s="105">
        <f t="shared" si="10"/>
        <v>0</v>
      </c>
      <c r="I32" s="105">
        <f t="shared" si="10"/>
        <v>0</v>
      </c>
      <c r="J32" s="105">
        <f t="shared" si="10"/>
        <v>0</v>
      </c>
      <c r="K32" s="105">
        <f t="shared" si="10"/>
        <v>0</v>
      </c>
      <c r="L32" s="105">
        <f t="shared" si="10"/>
        <v>0</v>
      </c>
      <c r="M32" s="105">
        <f t="shared" si="10"/>
        <v>0</v>
      </c>
      <c r="N32" s="105">
        <f t="shared" si="10"/>
        <v>0</v>
      </c>
      <c r="O32" s="105">
        <f t="shared" si="10"/>
        <v>0</v>
      </c>
      <c r="P32" s="105">
        <f t="shared" si="10"/>
        <v>0</v>
      </c>
      <c r="Q32" s="105">
        <f t="shared" si="10"/>
        <v>0</v>
      </c>
      <c r="R32" s="105">
        <f t="shared" si="10"/>
        <v>0</v>
      </c>
      <c r="S32" s="105">
        <f t="shared" si="10"/>
        <v>0</v>
      </c>
    </row>
    <row r="33" spans="1:19" ht="19.5" customHeight="1">
      <c r="A33" s="51"/>
      <c r="B33" s="51" t="s">
        <v>90</v>
      </c>
      <c r="C33" s="51"/>
      <c r="D33" s="89"/>
      <c r="E33" s="106">
        <f>+E31-E32</f>
        <v>-8538.33281535649</v>
      </c>
      <c r="F33" s="106">
        <f aca="true" t="shared" si="11" ref="F33:S33">+F31-F32</f>
        <v>1062.8944920000004</v>
      </c>
      <c r="G33" s="106">
        <f t="shared" si="11"/>
        <v>-1609.7179982400012</v>
      </c>
      <c r="H33" s="106">
        <f t="shared" si="11"/>
        <v>12646.036907750402</v>
      </c>
      <c r="I33" s="106">
        <f t="shared" si="11"/>
        <v>0</v>
      </c>
      <c r="J33" s="106">
        <f t="shared" si="11"/>
        <v>0</v>
      </c>
      <c r="K33" s="106">
        <f t="shared" si="11"/>
        <v>0</v>
      </c>
      <c r="L33" s="106">
        <f t="shared" si="11"/>
        <v>0</v>
      </c>
      <c r="M33" s="106">
        <f t="shared" si="11"/>
        <v>0</v>
      </c>
      <c r="N33" s="106">
        <f t="shared" si="11"/>
        <v>0</v>
      </c>
      <c r="O33" s="106">
        <f t="shared" si="11"/>
        <v>0</v>
      </c>
      <c r="P33" s="106">
        <f t="shared" si="11"/>
        <v>0</v>
      </c>
      <c r="Q33" s="106">
        <f t="shared" si="11"/>
        <v>0</v>
      </c>
      <c r="R33" s="106">
        <f t="shared" si="11"/>
        <v>0</v>
      </c>
      <c r="S33" s="106">
        <f t="shared" si="11"/>
        <v>0</v>
      </c>
    </row>
    <row r="34" spans="1:19" ht="19.5" customHeight="1">
      <c r="A34" s="53"/>
      <c r="B34" s="53"/>
      <c r="C34" s="53"/>
      <c r="D34" s="53"/>
      <c r="E34" s="53"/>
      <c r="F34" s="53"/>
      <c r="G34" s="53"/>
      <c r="H34" s="53"/>
      <c r="I34" s="53"/>
      <c r="J34" s="53"/>
      <c r="K34" s="53"/>
      <c r="L34" s="53"/>
      <c r="M34" s="53"/>
      <c r="N34" s="53"/>
      <c r="O34" s="53"/>
      <c r="P34" s="53"/>
      <c r="Q34" s="53"/>
      <c r="R34" s="53"/>
      <c r="S34" s="53"/>
    </row>
    <row r="35" spans="1:19" ht="19.5" customHeight="1">
      <c r="A35" s="60"/>
      <c r="B35" s="60" t="s">
        <v>121</v>
      </c>
      <c r="C35" s="107">
        <v>0.1</v>
      </c>
      <c r="D35" s="108">
        <f>NPV(C35,E33:S33)</f>
        <v>544.312866448267</v>
      </c>
      <c r="E35" s="57"/>
      <c r="F35" s="57"/>
      <c r="G35" s="57"/>
      <c r="H35" s="60" t="s">
        <v>91</v>
      </c>
      <c r="I35" s="109">
        <f>IRR(E33:S33)</f>
        <v>0.125733209108772</v>
      </c>
      <c r="J35" s="57"/>
      <c r="K35" s="57"/>
      <c r="L35" s="57"/>
      <c r="M35" s="57"/>
      <c r="N35" s="57"/>
      <c r="O35" s="57"/>
      <c r="P35" s="57"/>
      <c r="Q35" s="57"/>
      <c r="R35" s="57"/>
      <c r="S35" s="57"/>
    </row>
    <row r="36" spans="2:19" ht="19.5" customHeight="1">
      <c r="B36" s="19"/>
      <c r="C36" s="19"/>
      <c r="D36" s="19"/>
      <c r="E36" s="19"/>
      <c r="F36" s="19"/>
      <c r="G36" s="19"/>
      <c r="H36" s="19"/>
      <c r="I36" s="19"/>
      <c r="J36" s="19"/>
      <c r="K36" s="19"/>
      <c r="L36" s="19"/>
      <c r="M36" s="19"/>
      <c r="N36" s="19"/>
      <c r="O36" s="19"/>
      <c r="P36" s="19"/>
      <c r="Q36" s="19"/>
      <c r="R36" s="19"/>
      <c r="S36" s="19"/>
    </row>
    <row r="37" spans="2:19" ht="19.5" customHeight="1">
      <c r="B37" s="19"/>
      <c r="C37" s="19"/>
      <c r="D37" s="19"/>
      <c r="E37" s="19"/>
      <c r="F37" s="19"/>
      <c r="G37" s="19"/>
      <c r="H37" s="19"/>
      <c r="I37" s="19"/>
      <c r="J37" s="19"/>
      <c r="K37" s="19"/>
      <c r="L37" s="19"/>
      <c r="M37" s="19"/>
      <c r="N37" s="19"/>
      <c r="O37" s="19"/>
      <c r="P37" s="19"/>
      <c r="Q37" s="19"/>
      <c r="R37" s="19"/>
      <c r="S37" s="19"/>
    </row>
    <row r="38" spans="1:19" ht="19.5" customHeight="1">
      <c r="A38" s="46" t="s">
        <v>60</v>
      </c>
      <c r="C38" s="19"/>
      <c r="D38" s="19"/>
      <c r="E38" s="19"/>
      <c r="F38" s="19"/>
      <c r="G38" s="19"/>
      <c r="H38" s="19"/>
      <c r="I38" s="19"/>
      <c r="J38" s="19"/>
      <c r="K38" s="19"/>
      <c r="L38" s="19"/>
      <c r="M38" s="19"/>
      <c r="N38" s="19"/>
      <c r="O38" s="19"/>
      <c r="P38" s="19"/>
      <c r="Q38" s="19"/>
      <c r="R38" s="19"/>
      <c r="S38" s="19"/>
    </row>
    <row r="39" ht="19.5" customHeight="1"/>
    <row r="40" ht="19.5" customHeight="1">
      <c r="A40" s="19" t="s">
        <v>122</v>
      </c>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sheetData>
  <printOptions horizontalCentered="1"/>
  <pageMargins left="0.5" right="0.5" top="0.75" bottom="0.75"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pageSetUpPr fitToPage="1"/>
  </sheetPr>
  <dimension ref="A1:S41"/>
  <sheetViews>
    <sheetView zoomScale="75" zoomScaleNormal="75" workbookViewId="0" topLeftCell="A31">
      <selection activeCell="D37" sqref="D37"/>
    </sheetView>
  </sheetViews>
  <sheetFormatPr defaultColWidth="9.00390625" defaultRowHeight="15.75"/>
  <cols>
    <col min="1" max="1" width="3.125" style="0" customWidth="1"/>
    <col min="2" max="2" width="26.00390625" style="0" customWidth="1"/>
    <col min="3" max="3" width="5.25390625" style="0" bestFit="1" customWidth="1"/>
    <col min="4" max="4" width="15.125" style="0" bestFit="1" customWidth="1"/>
    <col min="5" max="5" width="12.25390625" style="0" bestFit="1" customWidth="1"/>
    <col min="6" max="9" width="12.25390625" style="0" customWidth="1"/>
    <col min="10" max="10" width="12.25390625" style="0" bestFit="1" customWidth="1"/>
    <col min="11" max="14" width="12.25390625" style="0" customWidth="1"/>
    <col min="15" max="16" width="12.25390625" style="0" bestFit="1" customWidth="1"/>
    <col min="17" max="18" width="11.625" style="0" customWidth="1"/>
    <col min="19" max="19" width="12.75390625" style="0" customWidth="1"/>
  </cols>
  <sheetData>
    <row r="1" spans="1:19" ht="18.75" thickTop="1">
      <c r="A1" s="113" t="s">
        <v>105</v>
      </c>
      <c r="B1" s="116"/>
      <c r="C1" s="116"/>
      <c r="D1" s="116"/>
      <c r="E1" s="116"/>
      <c r="F1" s="116"/>
      <c r="G1" s="116"/>
      <c r="H1" s="116"/>
      <c r="I1" s="116"/>
      <c r="J1" s="116"/>
      <c r="K1" s="116"/>
      <c r="L1" s="116"/>
      <c r="M1" s="116"/>
      <c r="N1" s="116"/>
      <c r="O1" s="116"/>
      <c r="P1" s="116"/>
      <c r="Q1" s="116"/>
      <c r="R1" s="116"/>
      <c r="S1" s="116"/>
    </row>
    <row r="2" spans="1:4" s="6" customFormat="1" ht="18">
      <c r="A2" s="13" t="s">
        <v>97</v>
      </c>
      <c r="D2" s="9"/>
    </row>
    <row r="3" spans="1:4" s="6" customFormat="1" ht="18">
      <c r="A3" s="13" t="s">
        <v>111</v>
      </c>
      <c r="D3" s="9"/>
    </row>
    <row r="4" spans="1:3" s="6" customFormat="1" ht="15.75">
      <c r="A4" s="15" t="s">
        <v>115</v>
      </c>
      <c r="C4" s="14">
        <v>0.03</v>
      </c>
    </row>
    <row r="5" spans="2:4" s="15" customFormat="1" ht="19.5" customHeight="1">
      <c r="B5" s="17"/>
      <c r="D5" s="16"/>
    </row>
    <row r="6" spans="1:19" s="19" customFormat="1" ht="19.5" customHeight="1">
      <c r="A6" s="47"/>
      <c r="B6" s="47"/>
      <c r="C6" s="47"/>
      <c r="D6" s="77"/>
      <c r="E6" s="78" t="s">
        <v>3</v>
      </c>
      <c r="F6" s="78" t="s">
        <v>4</v>
      </c>
      <c r="G6" s="78" t="s">
        <v>5</v>
      </c>
      <c r="H6" s="78" t="s">
        <v>6</v>
      </c>
      <c r="I6" s="78" t="s">
        <v>7</v>
      </c>
      <c r="J6" s="78" t="s">
        <v>8</v>
      </c>
      <c r="K6" s="78" t="s">
        <v>9</v>
      </c>
      <c r="L6" s="78" t="s">
        <v>10</v>
      </c>
      <c r="M6" s="78" t="s">
        <v>11</v>
      </c>
      <c r="N6" s="78" t="s">
        <v>12</v>
      </c>
      <c r="O6" s="78" t="s">
        <v>13</v>
      </c>
      <c r="P6" s="78" t="s">
        <v>14</v>
      </c>
      <c r="Q6" s="78" t="s">
        <v>15</v>
      </c>
      <c r="R6" s="78" t="s">
        <v>16</v>
      </c>
      <c r="S6" s="78" t="s">
        <v>17</v>
      </c>
    </row>
    <row r="7" spans="2:14" s="19" customFormat="1" ht="19.5" customHeight="1">
      <c r="B7" s="94"/>
      <c r="D7" s="30"/>
      <c r="E7" s="95"/>
      <c r="F7" s="95"/>
      <c r="G7" s="95"/>
      <c r="H7" s="95"/>
      <c r="I7" s="95"/>
      <c r="J7" s="95"/>
      <c r="K7" s="95"/>
      <c r="L7" s="95"/>
      <c r="M7" s="95"/>
      <c r="N7" s="95"/>
    </row>
    <row r="8" spans="1:19" s="19" customFormat="1" ht="19.5" customHeight="1">
      <c r="A8" s="64"/>
      <c r="B8" s="64" t="s">
        <v>125</v>
      </c>
      <c r="C8" s="48"/>
      <c r="D8" s="65"/>
      <c r="E8" s="65"/>
      <c r="F8" s="65"/>
      <c r="G8" s="65"/>
      <c r="H8" s="65"/>
      <c r="I8" s="65"/>
      <c r="J8" s="65"/>
      <c r="K8" s="65"/>
      <c r="L8" s="65"/>
      <c r="M8" s="65"/>
      <c r="N8" s="65"/>
      <c r="O8" s="48"/>
      <c r="P8" s="48"/>
      <c r="Q8" s="48"/>
      <c r="R8" s="48"/>
      <c r="S8" s="48"/>
    </row>
    <row r="9" spans="1:19" s="19" customFormat="1" ht="19.5" customHeight="1">
      <c r="A9" s="20"/>
      <c r="B9" s="20" t="s">
        <v>55</v>
      </c>
      <c r="C9" s="21"/>
      <c r="D9" s="28">
        <f>+C4</f>
        <v>0.03</v>
      </c>
      <c r="E9" s="22">
        <f>1+D9</f>
        <v>1.03</v>
      </c>
      <c r="F9" s="22">
        <f aca="true" t="shared" si="0" ref="F9:S9">E9*(1+$D$9)</f>
        <v>1.0609</v>
      </c>
      <c r="G9" s="22">
        <f t="shared" si="0"/>
        <v>1.092727</v>
      </c>
      <c r="H9" s="22">
        <f t="shared" si="0"/>
        <v>1.1255088100000001</v>
      </c>
      <c r="I9" s="22">
        <f t="shared" si="0"/>
        <v>1.1592740743</v>
      </c>
      <c r="J9" s="22">
        <f t="shared" si="0"/>
        <v>1.1940522965290001</v>
      </c>
      <c r="K9" s="22">
        <f t="shared" si="0"/>
        <v>1.2298738654248702</v>
      </c>
      <c r="L9" s="22">
        <f t="shared" si="0"/>
        <v>1.2667700813876164</v>
      </c>
      <c r="M9" s="22">
        <f t="shared" si="0"/>
        <v>1.304773183829245</v>
      </c>
      <c r="N9" s="22">
        <f t="shared" si="0"/>
        <v>1.3439163793441222</v>
      </c>
      <c r="O9" s="22">
        <f t="shared" si="0"/>
        <v>1.384233870724446</v>
      </c>
      <c r="P9" s="22">
        <f t="shared" si="0"/>
        <v>1.4257608868461793</v>
      </c>
      <c r="Q9" s="22">
        <f t="shared" si="0"/>
        <v>1.4685337134515648</v>
      </c>
      <c r="R9" s="22">
        <f t="shared" si="0"/>
        <v>1.512589724855112</v>
      </c>
      <c r="S9" s="22">
        <f t="shared" si="0"/>
        <v>1.5579674166007653</v>
      </c>
    </row>
    <row r="10" spans="1:19" s="19" customFormat="1" ht="19.5" customHeight="1">
      <c r="A10" s="20"/>
      <c r="B10" s="20" t="s">
        <v>61</v>
      </c>
      <c r="D10" s="96">
        <f>+'Development Program'!C12</f>
        <v>750000</v>
      </c>
      <c r="E10" s="97">
        <f>+'Development Program'!F12</f>
        <v>0</v>
      </c>
      <c r="F10" s="97">
        <f>+'Development Program'!G12</f>
        <v>50000</v>
      </c>
      <c r="G10" s="97">
        <f>+'Development Program'!H12</f>
        <v>100000</v>
      </c>
      <c r="H10" s="97">
        <f>+'Development Program'!I12</f>
        <v>200000</v>
      </c>
      <c r="I10" s="97">
        <f>+'Development Program'!J12</f>
        <v>300000</v>
      </c>
      <c r="J10" s="97">
        <f>+'Development Program'!K12</f>
        <v>400000</v>
      </c>
      <c r="K10" s="97">
        <f>+'Development Program'!L12</f>
        <v>500000</v>
      </c>
      <c r="L10" s="97">
        <f>+'Development Program'!M12</f>
        <v>625000</v>
      </c>
      <c r="M10" s="97">
        <f>+'Development Program'!N12</f>
        <v>750000</v>
      </c>
      <c r="N10" s="97">
        <f>+'Development Program'!O12</f>
        <v>750000</v>
      </c>
      <c r="O10" s="97">
        <f>+'Development Program'!P12</f>
        <v>750000</v>
      </c>
      <c r="P10" s="97">
        <f>+'Development Program'!Q12</f>
        <v>750000</v>
      </c>
      <c r="Q10" s="97">
        <f>+'Development Program'!R12</f>
        <v>750000</v>
      </c>
      <c r="R10" s="97">
        <f>+'Development Program'!S12</f>
        <v>750000</v>
      </c>
      <c r="S10" s="97">
        <f>+'Development Program'!T12</f>
        <v>750000</v>
      </c>
    </row>
    <row r="11" spans="1:19" s="19" customFormat="1" ht="19.5" customHeight="1">
      <c r="A11" s="20"/>
      <c r="B11" s="20" t="s">
        <v>150</v>
      </c>
      <c r="D11" s="98">
        <v>0.9</v>
      </c>
      <c r="E11" s="270">
        <f>+E10*$D$11</f>
        <v>0</v>
      </c>
      <c r="F11" s="270">
        <f aca="true" t="shared" si="1" ref="F11:S11">+F10*$D$11</f>
        <v>45000</v>
      </c>
      <c r="G11" s="270">
        <f t="shared" si="1"/>
        <v>90000</v>
      </c>
      <c r="H11" s="270">
        <f t="shared" si="1"/>
        <v>180000</v>
      </c>
      <c r="I11" s="270">
        <f t="shared" si="1"/>
        <v>270000</v>
      </c>
      <c r="J11" s="270">
        <f t="shared" si="1"/>
        <v>360000</v>
      </c>
      <c r="K11" s="270">
        <f t="shared" si="1"/>
        <v>450000</v>
      </c>
      <c r="L11" s="270">
        <f t="shared" si="1"/>
        <v>562500</v>
      </c>
      <c r="M11" s="270">
        <f t="shared" si="1"/>
        <v>675000</v>
      </c>
      <c r="N11" s="270">
        <f t="shared" si="1"/>
        <v>675000</v>
      </c>
      <c r="O11" s="270">
        <f t="shared" si="1"/>
        <v>675000</v>
      </c>
      <c r="P11" s="270">
        <f t="shared" si="1"/>
        <v>675000</v>
      </c>
      <c r="Q11" s="270">
        <f t="shared" si="1"/>
        <v>675000</v>
      </c>
      <c r="R11" s="270">
        <f t="shared" si="1"/>
        <v>675000</v>
      </c>
      <c r="S11" s="270">
        <f t="shared" si="1"/>
        <v>675000</v>
      </c>
    </row>
    <row r="12" spans="1:19" s="19" customFormat="1" ht="19.5" customHeight="1">
      <c r="A12" s="20"/>
      <c r="B12" s="20" t="s">
        <v>62</v>
      </c>
      <c r="D12" s="98">
        <v>0.05</v>
      </c>
      <c r="E12" s="99"/>
      <c r="F12" s="99"/>
      <c r="G12" s="99"/>
      <c r="H12" s="99"/>
      <c r="I12" s="99"/>
      <c r="J12" s="99"/>
      <c r="K12" s="99"/>
      <c r="L12" s="99"/>
      <c r="M12" s="99"/>
      <c r="N12" s="99"/>
      <c r="O12" s="99"/>
      <c r="P12" s="99"/>
      <c r="Q12" s="99"/>
      <c r="R12" s="99"/>
      <c r="S12" s="99"/>
    </row>
    <row r="13" spans="1:19" s="19" customFormat="1" ht="19.5" customHeight="1">
      <c r="A13" s="84"/>
      <c r="B13" s="84" t="s">
        <v>63</v>
      </c>
      <c r="C13" s="110"/>
      <c r="D13" s="100">
        <v>26</v>
      </c>
      <c r="E13" s="100">
        <f>ROUND(E9*$D$13,1)</f>
        <v>26.8</v>
      </c>
      <c r="F13" s="100">
        <f aca="true" t="shared" si="2" ref="F13:S13">ROUND(F9*$D$13,1)</f>
        <v>27.6</v>
      </c>
      <c r="G13" s="100">
        <f t="shared" si="2"/>
        <v>28.4</v>
      </c>
      <c r="H13" s="100">
        <f t="shared" si="2"/>
        <v>29.3</v>
      </c>
      <c r="I13" s="100">
        <f t="shared" si="2"/>
        <v>30.1</v>
      </c>
      <c r="J13" s="100">
        <f t="shared" si="2"/>
        <v>31</v>
      </c>
      <c r="K13" s="100">
        <f t="shared" si="2"/>
        <v>32</v>
      </c>
      <c r="L13" s="100">
        <f t="shared" si="2"/>
        <v>32.9</v>
      </c>
      <c r="M13" s="100">
        <f t="shared" si="2"/>
        <v>33.9</v>
      </c>
      <c r="N13" s="100">
        <f t="shared" si="2"/>
        <v>34.9</v>
      </c>
      <c r="O13" s="100">
        <f t="shared" si="2"/>
        <v>36</v>
      </c>
      <c r="P13" s="100">
        <f t="shared" si="2"/>
        <v>37.1</v>
      </c>
      <c r="Q13" s="100">
        <f t="shared" si="2"/>
        <v>38.2</v>
      </c>
      <c r="R13" s="100">
        <f t="shared" si="2"/>
        <v>39.3</v>
      </c>
      <c r="S13" s="100">
        <f t="shared" si="2"/>
        <v>40.5</v>
      </c>
    </row>
    <row r="14" spans="3:19" s="19" customFormat="1" ht="19.5" customHeight="1">
      <c r="C14" s="21"/>
      <c r="D14" s="32"/>
      <c r="E14" s="101"/>
      <c r="F14" s="101"/>
      <c r="G14" s="101"/>
      <c r="H14" s="101"/>
      <c r="I14" s="101"/>
      <c r="J14" s="101"/>
      <c r="K14" s="101"/>
      <c r="L14" s="101"/>
      <c r="M14" s="101"/>
      <c r="N14" s="101"/>
      <c r="O14" s="101"/>
      <c r="P14" s="101"/>
      <c r="Q14" s="101"/>
      <c r="R14" s="101"/>
      <c r="S14" s="101"/>
    </row>
    <row r="15" spans="3:19" s="19" customFormat="1" ht="19.5" customHeight="1">
      <c r="C15" s="21"/>
      <c r="D15" s="32"/>
      <c r="E15" s="101"/>
      <c r="F15" s="101"/>
      <c r="G15" s="101"/>
      <c r="H15" s="101"/>
      <c r="I15" s="101"/>
      <c r="J15" s="101"/>
      <c r="K15" s="101"/>
      <c r="L15" s="101"/>
      <c r="M15" s="101"/>
      <c r="N15" s="101"/>
      <c r="O15" s="101"/>
      <c r="P15" s="101"/>
      <c r="Q15" s="101"/>
      <c r="R15" s="101"/>
      <c r="S15" s="101"/>
    </row>
    <row r="16" spans="1:19" s="19" customFormat="1" ht="19.5" customHeight="1">
      <c r="A16" s="48"/>
      <c r="B16" s="64" t="s">
        <v>86</v>
      </c>
      <c r="C16" s="48"/>
      <c r="D16" s="65"/>
      <c r="E16" s="65"/>
      <c r="F16" s="65"/>
      <c r="G16" s="65"/>
      <c r="H16" s="65"/>
      <c r="I16" s="65"/>
      <c r="J16" s="65"/>
      <c r="K16" s="65"/>
      <c r="L16" s="65"/>
      <c r="M16" s="65"/>
      <c r="N16" s="65"/>
      <c r="O16" s="48"/>
      <c r="P16" s="48"/>
      <c r="Q16" s="48"/>
      <c r="R16" s="48"/>
      <c r="S16" s="48"/>
    </row>
    <row r="17" spans="2:19" s="19" customFormat="1" ht="19.5" customHeight="1">
      <c r="B17" s="20" t="s">
        <v>64</v>
      </c>
      <c r="E17" s="39">
        <f>(E11*E13*(1-$D$12))/1000</f>
        <v>0</v>
      </c>
      <c r="F17" s="39">
        <f aca="true" t="shared" si="3" ref="F17:S17">(F11*F13*(1-$D$12))/1000</f>
        <v>1179.9</v>
      </c>
      <c r="G17" s="39">
        <f t="shared" si="3"/>
        <v>2428.2</v>
      </c>
      <c r="H17" s="39">
        <f t="shared" si="3"/>
        <v>5010.3</v>
      </c>
      <c r="I17" s="39">
        <f t="shared" si="3"/>
        <v>7720.65</v>
      </c>
      <c r="J17" s="39">
        <f t="shared" si="3"/>
        <v>10602</v>
      </c>
      <c r="K17" s="39">
        <f t="shared" si="3"/>
        <v>13680</v>
      </c>
      <c r="L17" s="39">
        <f t="shared" si="3"/>
        <v>17580.9375</v>
      </c>
      <c r="M17" s="39">
        <f t="shared" si="3"/>
        <v>21738.375</v>
      </c>
      <c r="N17" s="39">
        <f t="shared" si="3"/>
        <v>22379.625</v>
      </c>
      <c r="O17" s="39">
        <f t="shared" si="3"/>
        <v>23085</v>
      </c>
      <c r="P17" s="39">
        <f t="shared" si="3"/>
        <v>23790.375</v>
      </c>
      <c r="Q17" s="39">
        <f t="shared" si="3"/>
        <v>24495.750000000004</v>
      </c>
      <c r="R17" s="39">
        <f t="shared" si="3"/>
        <v>25201.124999999996</v>
      </c>
      <c r="S17" s="39">
        <f t="shared" si="3"/>
        <v>25970.625</v>
      </c>
    </row>
    <row r="18" spans="2:19" s="19" customFormat="1" ht="19.5" customHeight="1">
      <c r="B18" s="19" t="s">
        <v>87</v>
      </c>
      <c r="D18" s="100">
        <v>6</v>
      </c>
      <c r="E18" s="39">
        <f>+E10*E9*$D$18/1000</f>
        <v>0</v>
      </c>
      <c r="F18" s="39">
        <f aca="true" t="shared" si="4" ref="F18:S18">+F10*F9*$D$18/1000</f>
        <v>318.27</v>
      </c>
      <c r="G18" s="39">
        <f t="shared" si="4"/>
        <v>655.6361999999999</v>
      </c>
      <c r="H18" s="39">
        <f t="shared" si="4"/>
        <v>1350.610572</v>
      </c>
      <c r="I18" s="39">
        <f t="shared" si="4"/>
        <v>2086.69333374</v>
      </c>
      <c r="J18" s="39">
        <f t="shared" si="4"/>
        <v>2865.7255116696006</v>
      </c>
      <c r="K18" s="39">
        <f t="shared" si="4"/>
        <v>3689.6215962746105</v>
      </c>
      <c r="L18" s="39">
        <f t="shared" si="4"/>
        <v>4750.387805203561</v>
      </c>
      <c r="M18" s="39">
        <f t="shared" si="4"/>
        <v>5871.479327231602</v>
      </c>
      <c r="N18" s="39">
        <f t="shared" si="4"/>
        <v>6047.62370704855</v>
      </c>
      <c r="O18" s="39">
        <f t="shared" si="4"/>
        <v>6229.0524182600075</v>
      </c>
      <c r="P18" s="39">
        <f t="shared" si="4"/>
        <v>6415.923990807807</v>
      </c>
      <c r="Q18" s="39">
        <f t="shared" si="4"/>
        <v>6608.401710532042</v>
      </c>
      <c r="R18" s="39">
        <f t="shared" si="4"/>
        <v>6806.653761848003</v>
      </c>
      <c r="S18" s="39">
        <f t="shared" si="4"/>
        <v>7010.853374703444</v>
      </c>
    </row>
    <row r="19" spans="1:19" s="19" customFormat="1" ht="19.5" customHeight="1">
      <c r="A19" s="53"/>
      <c r="B19" s="54" t="s">
        <v>86</v>
      </c>
      <c r="C19" s="53"/>
      <c r="D19" s="53"/>
      <c r="E19" s="55">
        <f aca="true" t="shared" si="5" ref="E19:S19">E17-E18</f>
        <v>0</v>
      </c>
      <c r="F19" s="55">
        <f t="shared" si="5"/>
        <v>861.6300000000001</v>
      </c>
      <c r="G19" s="55">
        <f t="shared" si="5"/>
        <v>1772.5638</v>
      </c>
      <c r="H19" s="55">
        <f t="shared" si="5"/>
        <v>3659.689428</v>
      </c>
      <c r="I19" s="55">
        <f t="shared" si="5"/>
        <v>5633.956666259999</v>
      </c>
      <c r="J19" s="55">
        <f t="shared" si="5"/>
        <v>7736.274488330399</v>
      </c>
      <c r="K19" s="55">
        <f t="shared" si="5"/>
        <v>9990.37840372539</v>
      </c>
      <c r="L19" s="55">
        <f t="shared" si="5"/>
        <v>12830.549694796438</v>
      </c>
      <c r="M19" s="55">
        <f t="shared" si="5"/>
        <v>15866.895672768398</v>
      </c>
      <c r="N19" s="55">
        <f t="shared" si="5"/>
        <v>16332.001292951449</v>
      </c>
      <c r="O19" s="55">
        <f t="shared" si="5"/>
        <v>16855.947581739994</v>
      </c>
      <c r="P19" s="55">
        <f t="shared" si="5"/>
        <v>17374.45100919219</v>
      </c>
      <c r="Q19" s="55">
        <f t="shared" si="5"/>
        <v>17887.348289467962</v>
      </c>
      <c r="R19" s="55">
        <f t="shared" si="5"/>
        <v>18394.471238151993</v>
      </c>
      <c r="S19" s="55">
        <f t="shared" si="5"/>
        <v>18959.771625296555</v>
      </c>
    </row>
    <row r="20" s="19" customFormat="1" ht="19.5" customHeight="1"/>
    <row r="21" s="51" customFormat="1" ht="19.5" customHeight="1"/>
    <row r="22" spans="1:19" s="51" customFormat="1" ht="19.5" customHeight="1">
      <c r="A22" s="48"/>
      <c r="B22" s="68" t="s">
        <v>88</v>
      </c>
      <c r="C22" s="48"/>
      <c r="D22" s="48"/>
      <c r="E22" s="48"/>
      <c r="F22" s="48"/>
      <c r="G22" s="48"/>
      <c r="H22" s="48"/>
      <c r="I22" s="48"/>
      <c r="J22" s="48"/>
      <c r="K22" s="48"/>
      <c r="L22" s="48"/>
      <c r="M22" s="48"/>
      <c r="N22" s="48"/>
      <c r="O22" s="48"/>
      <c r="P22" s="48"/>
      <c r="Q22" s="48"/>
      <c r="R22" s="48"/>
      <c r="S22" s="48"/>
    </row>
    <row r="23" spans="2:19" s="51" customFormat="1" ht="19.5" customHeight="1">
      <c r="B23" s="19" t="s">
        <v>89</v>
      </c>
      <c r="C23" s="19"/>
      <c r="D23" s="19"/>
      <c r="E23" s="42">
        <f>+F24-E24</f>
        <v>0.06666666666666667</v>
      </c>
      <c r="F23" s="42">
        <f aca="true" t="shared" si="6" ref="F23:R23">+G24-F24</f>
        <v>0.06666666666666667</v>
      </c>
      <c r="G23" s="42">
        <f t="shared" si="6"/>
        <v>0.13333333333333333</v>
      </c>
      <c r="H23" s="42">
        <f t="shared" si="6"/>
        <v>0.13333333333333336</v>
      </c>
      <c r="I23" s="42">
        <f t="shared" si="6"/>
        <v>0.1333333333333333</v>
      </c>
      <c r="J23" s="42">
        <f t="shared" si="6"/>
        <v>0.1333333333333333</v>
      </c>
      <c r="K23" s="42">
        <f t="shared" si="6"/>
        <v>0.16666666666666674</v>
      </c>
      <c r="L23" s="42">
        <f t="shared" si="6"/>
        <v>0.16666666666666663</v>
      </c>
      <c r="M23" s="42">
        <f t="shared" si="6"/>
        <v>0</v>
      </c>
      <c r="N23" s="42">
        <f t="shared" si="6"/>
        <v>0</v>
      </c>
      <c r="O23" s="42">
        <f t="shared" si="6"/>
        <v>0</v>
      </c>
      <c r="P23" s="42">
        <f t="shared" si="6"/>
        <v>0</v>
      </c>
      <c r="Q23" s="42">
        <f t="shared" si="6"/>
        <v>0</v>
      </c>
      <c r="R23" s="42">
        <f t="shared" si="6"/>
        <v>0</v>
      </c>
      <c r="S23" s="42">
        <v>0</v>
      </c>
    </row>
    <row r="24" spans="2:19" s="51" customFormat="1" ht="19.5" customHeight="1" hidden="1">
      <c r="B24" s="19" t="s">
        <v>89</v>
      </c>
      <c r="C24" s="19"/>
      <c r="D24" s="19"/>
      <c r="E24" s="42">
        <f aca="true" t="shared" si="7" ref="E24:S24">+E10/$D$10</f>
        <v>0</v>
      </c>
      <c r="F24" s="42">
        <f t="shared" si="7"/>
        <v>0.06666666666666667</v>
      </c>
      <c r="G24" s="42">
        <f t="shared" si="7"/>
        <v>0.13333333333333333</v>
      </c>
      <c r="H24" s="42">
        <f t="shared" si="7"/>
        <v>0.26666666666666666</v>
      </c>
      <c r="I24" s="42">
        <f t="shared" si="7"/>
        <v>0.4</v>
      </c>
      <c r="J24" s="42">
        <f t="shared" si="7"/>
        <v>0.5333333333333333</v>
      </c>
      <c r="K24" s="42">
        <f t="shared" si="7"/>
        <v>0.6666666666666666</v>
      </c>
      <c r="L24" s="42">
        <f t="shared" si="7"/>
        <v>0.8333333333333334</v>
      </c>
      <c r="M24" s="42">
        <f t="shared" si="7"/>
        <v>1</v>
      </c>
      <c r="N24" s="42">
        <f t="shared" si="7"/>
        <v>1</v>
      </c>
      <c r="O24" s="42">
        <f t="shared" si="7"/>
        <v>1</v>
      </c>
      <c r="P24" s="42">
        <f t="shared" si="7"/>
        <v>1</v>
      </c>
      <c r="Q24" s="42">
        <f t="shared" si="7"/>
        <v>1</v>
      </c>
      <c r="R24" s="42">
        <f t="shared" si="7"/>
        <v>1</v>
      </c>
      <c r="S24" s="42">
        <f t="shared" si="7"/>
        <v>1</v>
      </c>
    </row>
    <row r="25" spans="2:19" s="51" customFormat="1" ht="19.5" customHeight="1">
      <c r="B25" s="19" t="s">
        <v>88</v>
      </c>
      <c r="C25" s="19"/>
      <c r="D25" s="41">
        <f>+'Development Costs'!I15*'Office-Commercial'!D10/1000</f>
        <v>136125</v>
      </c>
      <c r="E25" s="39">
        <f aca="true" t="shared" si="8" ref="E25:S25">+E23*$D$25*E9</f>
        <v>9347.25</v>
      </c>
      <c r="F25" s="39">
        <f t="shared" si="8"/>
        <v>9627.6675</v>
      </c>
      <c r="G25" s="39">
        <f t="shared" si="8"/>
        <v>19832.99505</v>
      </c>
      <c r="H25" s="39">
        <f t="shared" si="8"/>
        <v>20427.984901500007</v>
      </c>
      <c r="I25" s="39">
        <f t="shared" si="8"/>
        <v>21040.824448544998</v>
      </c>
      <c r="J25" s="39">
        <f t="shared" si="8"/>
        <v>21672.04918200135</v>
      </c>
      <c r="K25" s="39">
        <f t="shared" si="8"/>
        <v>27902.763321826755</v>
      </c>
      <c r="L25" s="39">
        <f t="shared" si="8"/>
        <v>28739.84622148154</v>
      </c>
      <c r="M25" s="39">
        <f t="shared" si="8"/>
        <v>0</v>
      </c>
      <c r="N25" s="39">
        <f t="shared" si="8"/>
        <v>0</v>
      </c>
      <c r="O25" s="39">
        <f t="shared" si="8"/>
        <v>0</v>
      </c>
      <c r="P25" s="39">
        <f t="shared" si="8"/>
        <v>0</v>
      </c>
      <c r="Q25" s="39">
        <f t="shared" si="8"/>
        <v>0</v>
      </c>
      <c r="R25" s="39">
        <f t="shared" si="8"/>
        <v>0</v>
      </c>
      <c r="S25" s="39">
        <f t="shared" si="8"/>
        <v>0</v>
      </c>
    </row>
    <row r="26" spans="2:19" ht="19.5" customHeight="1">
      <c r="B26" s="19" t="s">
        <v>139</v>
      </c>
      <c r="E26" s="39">
        <f>+'Infrastructure Costs'!E14</f>
        <v>2226.457038391225</v>
      </c>
      <c r="F26" s="39">
        <f>+'Infrastructure Costs'!F14</f>
        <v>0</v>
      </c>
      <c r="G26" s="39">
        <f>+'Infrastructure Costs'!G14</f>
        <v>0</v>
      </c>
      <c r="H26" s="39">
        <f>+'Infrastructure Costs'!H14</f>
        <v>0</v>
      </c>
      <c r="I26" s="39">
        <f>+'Infrastructure Costs'!I14</f>
        <v>0</v>
      </c>
      <c r="J26" s="39">
        <f>+'Infrastructure Costs'!J14</f>
        <v>2258.4396818809932</v>
      </c>
      <c r="K26" s="39">
        <f>+'Infrastructure Costs'!K14</f>
        <v>0</v>
      </c>
      <c r="L26" s="39">
        <f>+'Infrastructure Costs'!L14</f>
        <v>0</v>
      </c>
      <c r="M26" s="39">
        <f>+'Infrastructure Costs'!M14</f>
        <v>0</v>
      </c>
      <c r="N26" s="39">
        <f>+'Infrastructure Costs'!N14</f>
        <v>0</v>
      </c>
      <c r="O26" s="39">
        <f>+'Infrastructure Costs'!O14</f>
        <v>0</v>
      </c>
      <c r="P26" s="39">
        <f>+'Infrastructure Costs'!P14</f>
        <v>0</v>
      </c>
      <c r="Q26" s="39">
        <f>+'Infrastructure Costs'!Q14</f>
        <v>0</v>
      </c>
      <c r="R26" s="39">
        <f>+'Infrastructure Costs'!R14</f>
        <v>0</v>
      </c>
      <c r="S26" s="39">
        <f>+'Infrastructure Costs'!S14</f>
        <v>0</v>
      </c>
    </row>
    <row r="27" spans="1:19" s="56" customFormat="1" ht="19.5" customHeight="1">
      <c r="A27" s="54"/>
      <c r="B27" s="54" t="s">
        <v>96</v>
      </c>
      <c r="C27" s="54"/>
      <c r="D27" s="54"/>
      <c r="E27" s="103">
        <f>+E25+E26</f>
        <v>11573.707038391225</v>
      </c>
      <c r="F27" s="103">
        <f aca="true" t="shared" si="9" ref="F27:S27">+F25+F26</f>
        <v>9627.6675</v>
      </c>
      <c r="G27" s="103">
        <f t="shared" si="9"/>
        <v>19832.99505</v>
      </c>
      <c r="H27" s="103">
        <f t="shared" si="9"/>
        <v>20427.984901500007</v>
      </c>
      <c r="I27" s="103">
        <f t="shared" si="9"/>
        <v>21040.824448544998</v>
      </c>
      <c r="J27" s="103">
        <f t="shared" si="9"/>
        <v>23930.488863882343</v>
      </c>
      <c r="K27" s="103">
        <f t="shared" si="9"/>
        <v>27902.763321826755</v>
      </c>
      <c r="L27" s="103">
        <f t="shared" si="9"/>
        <v>28739.84622148154</v>
      </c>
      <c r="M27" s="103">
        <f t="shared" si="9"/>
        <v>0</v>
      </c>
      <c r="N27" s="103">
        <f t="shared" si="9"/>
        <v>0</v>
      </c>
      <c r="O27" s="103">
        <f t="shared" si="9"/>
        <v>0</v>
      </c>
      <c r="P27" s="103">
        <f t="shared" si="9"/>
        <v>0</v>
      </c>
      <c r="Q27" s="103">
        <f t="shared" si="9"/>
        <v>0</v>
      </c>
      <c r="R27" s="103">
        <f t="shared" si="9"/>
        <v>0</v>
      </c>
      <c r="S27" s="103">
        <f t="shared" si="9"/>
        <v>0</v>
      </c>
    </row>
    <row r="28" s="19" customFormat="1" ht="19.5" customHeight="1"/>
    <row r="29" s="19" customFormat="1" ht="19.5" customHeight="1"/>
    <row r="30" spans="1:19" s="19" customFormat="1" ht="19.5" customHeight="1">
      <c r="A30" s="48"/>
      <c r="B30" s="68" t="s">
        <v>118</v>
      </c>
      <c r="C30" s="48"/>
      <c r="D30" s="48"/>
      <c r="E30" s="48"/>
      <c r="F30" s="48"/>
      <c r="G30" s="48"/>
      <c r="H30" s="48"/>
      <c r="I30" s="48"/>
      <c r="J30" s="48"/>
      <c r="K30" s="48"/>
      <c r="L30" s="48"/>
      <c r="M30" s="48"/>
      <c r="N30" s="48"/>
      <c r="O30" s="48"/>
      <c r="P30" s="48"/>
      <c r="Q30" s="48"/>
      <c r="R30" s="48"/>
      <c r="S30" s="48"/>
    </row>
    <row r="31" spans="2:19" s="19" customFormat="1" ht="19.5" customHeight="1">
      <c r="B31" s="19" t="str">
        <f>+B19</f>
        <v>Net Operating Income</v>
      </c>
      <c r="E31" s="104">
        <f>+E19</f>
        <v>0</v>
      </c>
      <c r="F31" s="104">
        <f aca="true" t="shared" si="10" ref="F31:R31">+F19</f>
        <v>861.6300000000001</v>
      </c>
      <c r="G31" s="104">
        <f t="shared" si="10"/>
        <v>1772.5638</v>
      </c>
      <c r="H31" s="104">
        <f t="shared" si="10"/>
        <v>3659.689428</v>
      </c>
      <c r="I31" s="104">
        <f t="shared" si="10"/>
        <v>5633.956666259999</v>
      </c>
      <c r="J31" s="104">
        <f t="shared" si="10"/>
        <v>7736.274488330399</v>
      </c>
      <c r="K31" s="104">
        <f t="shared" si="10"/>
        <v>9990.37840372539</v>
      </c>
      <c r="L31" s="104">
        <f t="shared" si="10"/>
        <v>12830.549694796438</v>
      </c>
      <c r="M31" s="104">
        <f t="shared" si="10"/>
        <v>15866.895672768398</v>
      </c>
      <c r="N31" s="104">
        <f t="shared" si="10"/>
        <v>16332.001292951449</v>
      </c>
      <c r="O31" s="104">
        <f t="shared" si="10"/>
        <v>16855.947581739994</v>
      </c>
      <c r="P31" s="104">
        <f t="shared" si="10"/>
        <v>17374.45100919219</v>
      </c>
      <c r="Q31" s="104">
        <f t="shared" si="10"/>
        <v>17887.348289467962</v>
      </c>
      <c r="R31" s="104">
        <f t="shared" si="10"/>
        <v>18394.471238151993</v>
      </c>
      <c r="S31" s="104">
        <f>+S19</f>
        <v>18959.771625296555</v>
      </c>
    </row>
    <row r="32" spans="2:19" s="19" customFormat="1" ht="19.5" customHeight="1">
      <c r="B32" s="19" t="s">
        <v>127</v>
      </c>
      <c r="C32" s="43">
        <v>0.1</v>
      </c>
      <c r="E32" s="104"/>
      <c r="F32" s="104"/>
      <c r="G32" s="104"/>
      <c r="H32" s="104"/>
      <c r="I32" s="104"/>
      <c r="J32" s="104"/>
      <c r="K32" s="104"/>
      <c r="L32" s="104"/>
      <c r="M32" s="104"/>
      <c r="N32" s="104"/>
      <c r="O32" s="104"/>
      <c r="P32" s="104"/>
      <c r="Q32" s="104"/>
      <c r="R32" s="104"/>
      <c r="S32" s="104">
        <f>+S31/C32</f>
        <v>189597.71625296553</v>
      </c>
    </row>
    <row r="33" spans="2:19" s="19" customFormat="1" ht="19.5" customHeight="1">
      <c r="B33" s="19" t="s">
        <v>119</v>
      </c>
      <c r="C33" s="43">
        <v>0.05</v>
      </c>
      <c r="E33" s="104"/>
      <c r="F33" s="104"/>
      <c r="G33" s="104"/>
      <c r="H33" s="104"/>
      <c r="I33" s="104"/>
      <c r="J33" s="104"/>
      <c r="K33" s="104"/>
      <c r="L33" s="104"/>
      <c r="M33" s="104"/>
      <c r="N33" s="104"/>
      <c r="O33" s="104"/>
      <c r="P33" s="104"/>
      <c r="Q33" s="104"/>
      <c r="R33" s="104"/>
      <c r="S33" s="104">
        <f>-S32*C33</f>
        <v>-9479.885812648277</v>
      </c>
    </row>
    <row r="34" spans="2:19" s="19" customFormat="1" ht="19.5" customHeight="1">
      <c r="B34" s="19" t="str">
        <f>+B27</f>
        <v>Total Development Costs</v>
      </c>
      <c r="E34" s="105">
        <f>-E27</f>
        <v>-11573.707038391225</v>
      </c>
      <c r="F34" s="105">
        <f aca="true" t="shared" si="11" ref="F34:S34">-F27</f>
        <v>-9627.6675</v>
      </c>
      <c r="G34" s="105">
        <f t="shared" si="11"/>
        <v>-19832.99505</v>
      </c>
      <c r="H34" s="105">
        <f t="shared" si="11"/>
        <v>-20427.984901500007</v>
      </c>
      <c r="I34" s="105">
        <f t="shared" si="11"/>
        <v>-21040.824448544998</v>
      </c>
      <c r="J34" s="105">
        <f t="shared" si="11"/>
        <v>-23930.488863882343</v>
      </c>
      <c r="K34" s="105">
        <f t="shared" si="11"/>
        <v>-27902.763321826755</v>
      </c>
      <c r="L34" s="105">
        <f t="shared" si="11"/>
        <v>-28739.84622148154</v>
      </c>
      <c r="M34" s="105">
        <f t="shared" si="11"/>
        <v>0</v>
      </c>
      <c r="N34" s="105">
        <f t="shared" si="11"/>
        <v>0</v>
      </c>
      <c r="O34" s="105">
        <f t="shared" si="11"/>
        <v>0</v>
      </c>
      <c r="P34" s="105">
        <f t="shared" si="11"/>
        <v>0</v>
      </c>
      <c r="Q34" s="105">
        <f t="shared" si="11"/>
        <v>0</v>
      </c>
      <c r="R34" s="105">
        <f t="shared" si="11"/>
        <v>0</v>
      </c>
      <c r="S34" s="105">
        <f t="shared" si="11"/>
        <v>0</v>
      </c>
    </row>
    <row r="35" spans="1:19" s="19" customFormat="1" ht="19.5" customHeight="1">
      <c r="A35" s="53"/>
      <c r="B35" s="53" t="s">
        <v>90</v>
      </c>
      <c r="C35" s="53"/>
      <c r="D35" s="59"/>
      <c r="E35" s="111">
        <f>SUM(E31:E34)</f>
        <v>-11573.707038391225</v>
      </c>
      <c r="F35" s="111">
        <f aca="true" t="shared" si="12" ref="F35:S35">SUM(F31:F34)</f>
        <v>-8766.037499999999</v>
      </c>
      <c r="G35" s="111">
        <f t="shared" si="12"/>
        <v>-18060.43125</v>
      </c>
      <c r="H35" s="111">
        <f t="shared" si="12"/>
        <v>-16768.295473500006</v>
      </c>
      <c r="I35" s="111">
        <f t="shared" si="12"/>
        <v>-15406.867782284999</v>
      </c>
      <c r="J35" s="111">
        <f t="shared" si="12"/>
        <v>-16194.214375551943</v>
      </c>
      <c r="K35" s="111">
        <f t="shared" si="12"/>
        <v>-17912.384918101365</v>
      </c>
      <c r="L35" s="111">
        <f t="shared" si="12"/>
        <v>-15909.296526685102</v>
      </c>
      <c r="M35" s="111">
        <f t="shared" si="12"/>
        <v>15866.895672768398</v>
      </c>
      <c r="N35" s="111">
        <f t="shared" si="12"/>
        <v>16332.001292951449</v>
      </c>
      <c r="O35" s="111">
        <f t="shared" si="12"/>
        <v>16855.947581739994</v>
      </c>
      <c r="P35" s="111">
        <f t="shared" si="12"/>
        <v>17374.45100919219</v>
      </c>
      <c r="Q35" s="111">
        <f t="shared" si="12"/>
        <v>17887.348289467962</v>
      </c>
      <c r="R35" s="111">
        <f t="shared" si="12"/>
        <v>18394.471238151993</v>
      </c>
      <c r="S35" s="111">
        <f t="shared" si="12"/>
        <v>199077.6020656138</v>
      </c>
    </row>
    <row r="36" s="19" customFormat="1" ht="19.5" customHeight="1"/>
    <row r="37" spans="1:19" s="19" customFormat="1" ht="19.5" customHeight="1">
      <c r="A37" s="47"/>
      <c r="B37" s="60" t="s">
        <v>121</v>
      </c>
      <c r="C37" s="107">
        <v>0.1</v>
      </c>
      <c r="D37" s="112">
        <f>NPV(C37,E35:S35)</f>
        <v>4042.9042435358197</v>
      </c>
      <c r="E37" s="57"/>
      <c r="F37" s="57"/>
      <c r="G37" s="60" t="s">
        <v>91</v>
      </c>
      <c r="H37" s="109">
        <f>IRR(E35:S35)</f>
        <v>0.10610035133227465</v>
      </c>
      <c r="I37" s="57"/>
      <c r="J37" s="57"/>
      <c r="K37" s="57"/>
      <c r="L37" s="57"/>
      <c r="M37" s="57"/>
      <c r="N37" s="57"/>
      <c r="O37" s="57"/>
      <c r="P37" s="57"/>
      <c r="Q37" s="57"/>
      <c r="R37" s="57"/>
      <c r="S37" s="57"/>
    </row>
    <row r="38" spans="4:5" s="19" customFormat="1" ht="19.5" customHeight="1">
      <c r="D38" s="43"/>
      <c r="E38" s="91"/>
    </row>
    <row r="39" spans="1:5" s="19" customFormat="1" ht="19.5" customHeight="1">
      <c r="A39" s="46" t="s">
        <v>120</v>
      </c>
      <c r="D39" s="43"/>
      <c r="E39" s="91"/>
    </row>
    <row r="40" spans="4:5" s="19" customFormat="1" ht="19.5" customHeight="1">
      <c r="D40" s="43"/>
      <c r="E40" s="91"/>
    </row>
    <row r="41" spans="1:19" s="19" customFormat="1" ht="19.5" customHeight="1" thickBot="1">
      <c r="A41" s="115" t="s">
        <v>122</v>
      </c>
      <c r="B41" s="115"/>
      <c r="C41" s="115"/>
      <c r="D41" s="115"/>
      <c r="E41" s="115"/>
      <c r="F41" s="115"/>
      <c r="G41" s="115"/>
      <c r="H41" s="115"/>
      <c r="I41" s="115"/>
      <c r="J41" s="115"/>
      <c r="K41" s="115"/>
      <c r="L41" s="115"/>
      <c r="M41" s="115"/>
      <c r="N41" s="115"/>
      <c r="O41" s="115"/>
      <c r="P41" s="115"/>
      <c r="Q41" s="115"/>
      <c r="R41" s="115"/>
      <c r="S41" s="115"/>
    </row>
    <row r="42" s="19" customFormat="1" ht="19.5" customHeight="1" thickTop="1"/>
    <row r="43" s="19" customFormat="1" ht="19.5" customHeight="1"/>
    <row r="44" s="19" customFormat="1" ht="19.5" customHeight="1"/>
    <row r="45" s="19" customFormat="1" ht="19.5" customHeight="1"/>
    <row r="46" s="15" customFormat="1" ht="19.5" customHeight="1"/>
    <row r="47" s="15" customFormat="1" ht="19.5" customHeight="1"/>
    <row r="48" s="15" customFormat="1" ht="19.5" customHeight="1"/>
    <row r="49" s="15" customFormat="1" ht="19.5" customHeight="1"/>
    <row r="50" s="15" customFormat="1" ht="19.5" customHeight="1"/>
    <row r="51" s="15" customFormat="1" ht="19.5" customHeight="1"/>
    <row r="52" s="15" customFormat="1" ht="19.5" customHeight="1"/>
    <row r="53" s="15" customFormat="1" ht="19.5" customHeight="1"/>
    <row r="54" s="15" customFormat="1" ht="19.5" customHeight="1"/>
    <row r="55" s="15" customFormat="1" ht="19.5" customHeight="1"/>
    <row r="56" s="15" customFormat="1" ht="19.5" customHeight="1"/>
    <row r="57" s="15" customFormat="1" ht="19.5" customHeight="1"/>
    <row r="58" s="15" customFormat="1" ht="19.5" customHeight="1"/>
    <row r="59" s="15" customFormat="1" ht="19.5" customHeight="1"/>
    <row r="60" s="15" customFormat="1" ht="19.5" customHeight="1"/>
    <row r="61" s="15" customFormat="1" ht="19.5" customHeight="1"/>
    <row r="62" s="15" customFormat="1" ht="19.5" customHeight="1"/>
    <row r="63" s="15" customFormat="1" ht="19.5" customHeight="1"/>
    <row r="64" s="15" customFormat="1" ht="19.5" customHeight="1"/>
    <row r="65" s="15" customFormat="1" ht="19.5" customHeight="1"/>
    <row r="66" s="15" customFormat="1" ht="19.5" customHeight="1"/>
    <row r="67" s="15" customFormat="1" ht="19.5" customHeight="1"/>
    <row r="68" s="15" customFormat="1" ht="19.5" customHeight="1"/>
    <row r="69" s="15" customFormat="1" ht="19.5" customHeight="1"/>
    <row r="70" s="15" customFormat="1" ht="19.5" customHeight="1"/>
    <row r="71" s="15" customFormat="1" ht="19.5" customHeight="1"/>
    <row r="72" s="15" customFormat="1" ht="19.5" customHeight="1"/>
    <row r="73" s="15" customFormat="1" ht="19.5" customHeight="1"/>
    <row r="74" s="15" customFormat="1" ht="19.5" customHeight="1"/>
    <row r="75" s="15" customFormat="1" ht="19.5" customHeight="1"/>
    <row r="76" s="15" customFormat="1" ht="19.5" customHeight="1"/>
    <row r="77" s="15" customFormat="1" ht="19.5" customHeight="1"/>
    <row r="78" s="15" customFormat="1" ht="19.5" customHeight="1"/>
    <row r="79" s="15" customFormat="1" ht="19.5" customHeight="1"/>
    <row r="80" s="15" customFormat="1" ht="19.5" customHeight="1"/>
    <row r="81" s="15" customFormat="1" ht="19.5" customHeight="1"/>
    <row r="82" s="15" customFormat="1" ht="19.5" customHeight="1"/>
    <row r="83" s="15" customFormat="1" ht="19.5" customHeight="1"/>
    <row r="84" s="15" customFormat="1" ht="19.5" customHeight="1"/>
    <row r="85" s="15" customFormat="1" ht="19.5" customHeight="1"/>
    <row r="86" s="15" customFormat="1" ht="19.5" customHeight="1"/>
    <row r="87" s="15" customFormat="1" ht="19.5" customHeight="1"/>
    <row r="88" s="15" customFormat="1" ht="19.5" customHeight="1"/>
    <row r="89" s="15" customFormat="1" ht="19.5" customHeight="1"/>
    <row r="90" s="15" customFormat="1" ht="19.5" customHeight="1"/>
    <row r="91" s="15" customFormat="1" ht="19.5" customHeight="1"/>
    <row r="92" s="15" customFormat="1" ht="19.5" customHeight="1"/>
    <row r="93" s="15" customFormat="1" ht="19.5" customHeight="1"/>
    <row r="94" s="15" customFormat="1" ht="19.5" customHeight="1"/>
    <row r="95" s="15" customFormat="1" ht="19.5" customHeight="1"/>
    <row r="96" s="15" customFormat="1" ht="19.5" customHeight="1"/>
    <row r="97" s="15" customFormat="1" ht="19.5" customHeight="1"/>
    <row r="98" s="15" customFormat="1" ht="19.5" customHeight="1"/>
    <row r="99" s="15" customFormat="1" ht="19.5" customHeight="1"/>
    <row r="100" s="15" customFormat="1" ht="19.5" customHeight="1"/>
    <row r="101" s="15" customFormat="1" ht="19.5" customHeight="1"/>
    <row r="102" s="15" customFormat="1" ht="19.5" customHeight="1"/>
    <row r="103" s="15" customFormat="1" ht="19.5" customHeight="1"/>
    <row r="104" s="15" customFormat="1" ht="19.5" customHeight="1"/>
    <row r="105" s="15" customFormat="1" ht="19.5" customHeight="1"/>
    <row r="106" s="15" customFormat="1" ht="19.5" customHeight="1"/>
    <row r="107" s="15" customFormat="1" ht="19.5" customHeight="1"/>
    <row r="108" s="15" customFormat="1" ht="19.5" customHeight="1"/>
    <row r="109" s="15" customFormat="1" ht="19.5" customHeight="1"/>
    <row r="110" s="15" customFormat="1" ht="19.5" customHeight="1"/>
    <row r="111" s="15" customFormat="1" ht="19.5" customHeight="1"/>
    <row r="112" s="15" customFormat="1" ht="19.5" customHeight="1"/>
    <row r="113" s="15" customFormat="1" ht="19.5" customHeight="1"/>
    <row r="114" s="15" customFormat="1" ht="19.5" customHeight="1"/>
    <row r="115" s="15" customFormat="1" ht="19.5" customHeight="1"/>
    <row r="116" s="15" customFormat="1" ht="19.5" customHeight="1"/>
    <row r="117" s="15" customFormat="1" ht="19.5" customHeight="1"/>
    <row r="118" s="15" customFormat="1" ht="19.5" customHeight="1"/>
    <row r="119" s="15" customFormat="1" ht="19.5" customHeight="1"/>
    <row r="120" s="15" customFormat="1" ht="19.5" customHeight="1"/>
    <row r="121" s="15" customFormat="1" ht="19.5" customHeight="1"/>
    <row r="122" s="15" customFormat="1" ht="19.5" customHeight="1"/>
    <row r="123" s="15" customFormat="1" ht="19.5" customHeight="1"/>
    <row r="124" s="15" customFormat="1" ht="19.5" customHeight="1"/>
    <row r="125" s="15" customFormat="1" ht="19.5" customHeight="1"/>
    <row r="126" s="15" customFormat="1" ht="19.5" customHeight="1"/>
    <row r="127" s="15" customFormat="1" ht="19.5" customHeight="1"/>
    <row r="128" s="15" customFormat="1" ht="19.5" customHeight="1"/>
    <row r="129" s="15" customFormat="1" ht="19.5" customHeight="1"/>
    <row r="130" s="15" customFormat="1" ht="19.5" customHeight="1"/>
    <row r="131" s="15" customFormat="1" ht="19.5" customHeight="1"/>
    <row r="132" s="15" customFormat="1" ht="19.5" customHeight="1"/>
    <row r="133" s="15" customFormat="1" ht="19.5" customHeight="1"/>
    <row r="134" s="15" customFormat="1" ht="19.5" customHeight="1"/>
    <row r="135" s="15" customFormat="1" ht="19.5" customHeight="1"/>
    <row r="136" s="15" customFormat="1" ht="19.5" customHeight="1"/>
    <row r="137" s="15" customFormat="1" ht="19.5" customHeight="1"/>
    <row r="138" s="15" customFormat="1" ht="19.5" customHeight="1"/>
    <row r="139" s="15" customFormat="1" ht="19.5" customHeight="1"/>
    <row r="140" s="15" customFormat="1" ht="19.5" customHeight="1"/>
    <row r="141" s="15" customFormat="1" ht="19.5" customHeight="1"/>
    <row r="142" s="15" customFormat="1" ht="19.5" customHeight="1"/>
    <row r="143" s="15" customFormat="1" ht="19.5" customHeight="1"/>
    <row r="144" s="15" customFormat="1" ht="19.5" customHeight="1"/>
    <row r="145" s="15" customFormat="1" ht="19.5" customHeight="1"/>
    <row r="146" s="15" customFormat="1" ht="19.5" customHeight="1"/>
    <row r="147" s="15" customFormat="1" ht="19.5" customHeight="1"/>
    <row r="148" s="15" customFormat="1" ht="19.5" customHeight="1"/>
    <row r="149" s="15" customFormat="1" ht="19.5" customHeight="1"/>
    <row r="150" s="15" customFormat="1" ht="19.5" customHeight="1"/>
    <row r="151" s="15" customFormat="1" ht="19.5" customHeight="1"/>
    <row r="152" s="15" customFormat="1" ht="19.5" customHeight="1"/>
    <row r="153" s="15" customFormat="1" ht="19.5" customHeight="1"/>
    <row r="154" s="15" customFormat="1" ht="19.5" customHeight="1"/>
    <row r="155" s="15" customFormat="1" ht="19.5" customHeight="1"/>
    <row r="156" s="15" customFormat="1" ht="19.5" customHeight="1"/>
    <row r="157" s="15" customFormat="1" ht="19.5" customHeight="1"/>
    <row r="158" s="15" customFormat="1" ht="19.5" customHeight="1"/>
    <row r="159" s="15" customFormat="1" ht="19.5" customHeight="1"/>
    <row r="160" s="15" customFormat="1" ht="19.5" customHeight="1"/>
  </sheetData>
  <printOptions horizontalCentered="1"/>
  <pageMargins left="0.5" right="0.5" top="0.75" bottom="0.75" header="0.5" footer="0.5"/>
  <pageSetup fitToHeight="1" fitToWidth="1" horizontalDpi="600" verticalDpi="600" orientation="landscape" scale="50" r:id="rId1"/>
</worksheet>
</file>

<file path=xl/worksheets/sheet9.xml><?xml version="1.0" encoding="utf-8"?>
<worksheet xmlns="http://schemas.openxmlformats.org/spreadsheetml/2006/main" xmlns:r="http://schemas.openxmlformats.org/officeDocument/2006/relationships">
  <sheetPr>
    <pageSetUpPr fitToPage="1"/>
  </sheetPr>
  <dimension ref="A1:S70"/>
  <sheetViews>
    <sheetView zoomScale="75" zoomScaleNormal="75" workbookViewId="0" topLeftCell="A25">
      <selection activeCell="D34" sqref="D34"/>
    </sheetView>
  </sheetViews>
  <sheetFormatPr defaultColWidth="9.00390625" defaultRowHeight="15.75"/>
  <cols>
    <col min="1" max="1" width="3.125" style="0" customWidth="1"/>
    <col min="2" max="2" width="25.50390625" style="0" customWidth="1"/>
    <col min="3" max="3" width="5.375" style="0" bestFit="1" customWidth="1"/>
    <col min="4" max="4" width="13.625" style="0" customWidth="1"/>
    <col min="5" max="5" width="11.50390625" style="0" bestFit="1" customWidth="1"/>
    <col min="6" max="6" width="9.625" style="0" customWidth="1"/>
    <col min="7" max="7" width="13.50390625" style="0" customWidth="1"/>
    <col min="8" max="8" width="14.75390625" style="0" customWidth="1"/>
    <col min="9" max="15" width="12.125" style="0" bestFit="1" customWidth="1"/>
    <col min="16" max="16" width="11.125" style="0" customWidth="1"/>
    <col min="17" max="18" width="11.625" style="0" bestFit="1" customWidth="1"/>
    <col min="19" max="19" width="12.75390625" style="0" bestFit="1" customWidth="1"/>
  </cols>
  <sheetData>
    <row r="1" spans="1:19" ht="18.75" thickTop="1">
      <c r="A1" s="113" t="s">
        <v>106</v>
      </c>
      <c r="B1" s="116"/>
      <c r="C1" s="116"/>
      <c r="D1" s="116"/>
      <c r="E1" s="116"/>
      <c r="F1" s="116"/>
      <c r="G1" s="116"/>
      <c r="H1" s="116"/>
      <c r="I1" s="116"/>
      <c r="J1" s="116"/>
      <c r="K1" s="116"/>
      <c r="L1" s="116"/>
      <c r="M1" s="116"/>
      <c r="N1" s="116"/>
      <c r="O1" s="116"/>
      <c r="P1" s="116"/>
      <c r="Q1" s="116"/>
      <c r="R1" s="116"/>
      <c r="S1" s="116"/>
    </row>
    <row r="2" spans="1:4" s="6" customFormat="1" ht="18">
      <c r="A2" s="13" t="s">
        <v>97</v>
      </c>
      <c r="D2" s="9"/>
    </row>
    <row r="3" spans="1:4" s="6" customFormat="1" ht="18">
      <c r="A3" s="13" t="s">
        <v>112</v>
      </c>
      <c r="D3" s="9"/>
    </row>
    <row r="4" spans="1:4" s="6" customFormat="1" ht="15.75">
      <c r="A4" s="15" t="s">
        <v>115</v>
      </c>
      <c r="C4" s="14">
        <v>0.03</v>
      </c>
      <c r="D4" s="9"/>
    </row>
    <row r="5" spans="1:19" s="6" customFormat="1" ht="15.75">
      <c r="A5" s="15"/>
      <c r="B5" s="17"/>
      <c r="C5" s="15"/>
      <c r="D5" s="16"/>
      <c r="E5" s="15"/>
      <c r="F5" s="15"/>
      <c r="G5" s="15"/>
      <c r="H5" s="15"/>
      <c r="I5" s="15"/>
      <c r="J5" s="15"/>
      <c r="K5" s="15"/>
      <c r="L5" s="15"/>
      <c r="M5" s="15"/>
      <c r="N5" s="15"/>
      <c r="O5" s="15"/>
      <c r="P5" s="15"/>
      <c r="Q5" s="15"/>
      <c r="R5" s="15"/>
      <c r="S5" s="15"/>
    </row>
    <row r="6" spans="1:19" s="117" customFormat="1" ht="19.5" customHeight="1">
      <c r="A6" s="19"/>
      <c r="B6" s="19"/>
      <c r="C6" s="19"/>
      <c r="D6" s="92"/>
      <c r="E6" s="93" t="s">
        <v>3</v>
      </c>
      <c r="F6" s="93" t="s">
        <v>4</v>
      </c>
      <c r="G6" s="93" t="s">
        <v>5</v>
      </c>
      <c r="H6" s="93" t="s">
        <v>6</v>
      </c>
      <c r="I6" s="93" t="s">
        <v>7</v>
      </c>
      <c r="J6" s="93" t="s">
        <v>8</v>
      </c>
      <c r="K6" s="93" t="s">
        <v>9</v>
      </c>
      <c r="L6" s="93" t="s">
        <v>10</v>
      </c>
      <c r="M6" s="93" t="s">
        <v>11</v>
      </c>
      <c r="N6" s="93" t="s">
        <v>12</v>
      </c>
      <c r="O6" s="93" t="s">
        <v>13</v>
      </c>
      <c r="P6" s="93" t="s">
        <v>14</v>
      </c>
      <c r="Q6" s="93" t="s">
        <v>15</v>
      </c>
      <c r="R6" s="93" t="s">
        <v>16</v>
      </c>
      <c r="S6" s="93" t="s">
        <v>17</v>
      </c>
    </row>
    <row r="7" spans="1:19" s="117" customFormat="1" ht="19.5" customHeight="1">
      <c r="A7" s="19"/>
      <c r="B7" s="94"/>
      <c r="C7" s="19"/>
      <c r="D7" s="30"/>
      <c r="E7" s="95"/>
      <c r="F7" s="95"/>
      <c r="G7" s="95"/>
      <c r="H7" s="95"/>
      <c r="I7" s="95"/>
      <c r="J7" s="95"/>
      <c r="K7" s="95"/>
      <c r="L7" s="95"/>
      <c r="M7" s="95"/>
      <c r="N7" s="95"/>
      <c r="O7" s="19"/>
      <c r="P7" s="19"/>
      <c r="Q7" s="19"/>
      <c r="R7" s="19"/>
      <c r="S7" s="19"/>
    </row>
    <row r="8" spans="1:19" s="118" customFormat="1" ht="19.5" customHeight="1">
      <c r="A8" s="48"/>
      <c r="B8" s="64" t="s">
        <v>125</v>
      </c>
      <c r="C8" s="48"/>
      <c r="D8" s="65"/>
      <c r="E8" s="65"/>
      <c r="F8" s="65"/>
      <c r="G8" s="65"/>
      <c r="H8" s="65"/>
      <c r="I8" s="65"/>
      <c r="J8" s="65"/>
      <c r="K8" s="65"/>
      <c r="L8" s="65"/>
      <c r="M8" s="65"/>
      <c r="N8" s="65"/>
      <c r="O8" s="48"/>
      <c r="P8" s="48"/>
      <c r="Q8" s="48"/>
      <c r="R8" s="48"/>
      <c r="S8" s="48"/>
    </row>
    <row r="9" spans="1:19" s="118" customFormat="1" ht="19.5" customHeight="1">
      <c r="A9" s="19"/>
      <c r="B9" s="20" t="s">
        <v>55</v>
      </c>
      <c r="C9" s="21"/>
      <c r="D9" s="28">
        <f>+C4</f>
        <v>0.03</v>
      </c>
      <c r="E9" s="22">
        <f>1+D9</f>
        <v>1.03</v>
      </c>
      <c r="F9" s="22">
        <f aca="true" t="shared" si="0" ref="F9:S9">E9*(1+$D$9)</f>
        <v>1.0609</v>
      </c>
      <c r="G9" s="22">
        <f t="shared" si="0"/>
        <v>1.092727</v>
      </c>
      <c r="H9" s="22">
        <f t="shared" si="0"/>
        <v>1.1255088100000001</v>
      </c>
      <c r="I9" s="22">
        <f t="shared" si="0"/>
        <v>1.1592740743</v>
      </c>
      <c r="J9" s="22">
        <f t="shared" si="0"/>
        <v>1.1940522965290001</v>
      </c>
      <c r="K9" s="22">
        <f t="shared" si="0"/>
        <v>1.2298738654248702</v>
      </c>
      <c r="L9" s="22">
        <f t="shared" si="0"/>
        <v>1.2667700813876164</v>
      </c>
      <c r="M9" s="22">
        <f t="shared" si="0"/>
        <v>1.304773183829245</v>
      </c>
      <c r="N9" s="22">
        <f t="shared" si="0"/>
        <v>1.3439163793441222</v>
      </c>
      <c r="O9" s="22">
        <f t="shared" si="0"/>
        <v>1.384233870724446</v>
      </c>
      <c r="P9" s="22">
        <f t="shared" si="0"/>
        <v>1.4257608868461793</v>
      </c>
      <c r="Q9" s="22">
        <f t="shared" si="0"/>
        <v>1.4685337134515648</v>
      </c>
      <c r="R9" s="22">
        <f t="shared" si="0"/>
        <v>1.512589724855112</v>
      </c>
      <c r="S9" s="22">
        <f t="shared" si="0"/>
        <v>1.5579674166007653</v>
      </c>
    </row>
    <row r="10" spans="1:19" s="118" customFormat="1" ht="19.5" customHeight="1">
      <c r="A10" s="19"/>
      <c r="B10" s="20" t="s">
        <v>61</v>
      </c>
      <c r="C10" s="19"/>
      <c r="D10" s="96">
        <f>+'Development Program'!C13</f>
        <v>250000</v>
      </c>
      <c r="E10" s="97">
        <f>+'Development Program'!F13</f>
        <v>0</v>
      </c>
      <c r="F10" s="97">
        <f>+'Development Program'!G13</f>
        <v>0</v>
      </c>
      <c r="G10" s="97">
        <f>+'Development Program'!H13</f>
        <v>0</v>
      </c>
      <c r="H10" s="97">
        <f>+'Development Program'!I13</f>
        <v>100000</v>
      </c>
      <c r="I10" s="97">
        <f>+'Development Program'!J13</f>
        <v>145000</v>
      </c>
      <c r="J10" s="97">
        <f>+'Development Program'!K13</f>
        <v>165000</v>
      </c>
      <c r="K10" s="97">
        <f>+'Development Program'!L13</f>
        <v>200000</v>
      </c>
      <c r="L10" s="97">
        <f>+'Development Program'!M13</f>
        <v>225000</v>
      </c>
      <c r="M10" s="97">
        <f>+'Development Program'!N13</f>
        <v>250000</v>
      </c>
      <c r="N10" s="97">
        <f>+'Development Program'!O13</f>
        <v>250000</v>
      </c>
      <c r="O10" s="97">
        <f>+'Development Program'!P13</f>
        <v>250000</v>
      </c>
      <c r="P10" s="97">
        <f>+'Development Program'!Q13</f>
        <v>250000</v>
      </c>
      <c r="Q10" s="97">
        <f>+'Development Program'!R13</f>
        <v>250000</v>
      </c>
      <c r="R10" s="97">
        <f>+'Development Program'!S13</f>
        <v>250000</v>
      </c>
      <c r="S10" s="97">
        <f>+'Development Program'!T13</f>
        <v>250000</v>
      </c>
    </row>
    <row r="11" spans="1:19" s="118" customFormat="1" ht="19.5" customHeight="1">
      <c r="A11" s="19"/>
      <c r="B11" s="20" t="s">
        <v>150</v>
      </c>
      <c r="C11" s="19"/>
      <c r="D11" s="98">
        <v>0.85</v>
      </c>
      <c r="E11" s="97">
        <f>+E10*$D$11</f>
        <v>0</v>
      </c>
      <c r="F11" s="97">
        <f aca="true" t="shared" si="1" ref="F11:S11">+F10*$D$11</f>
        <v>0</v>
      </c>
      <c r="G11" s="97">
        <f t="shared" si="1"/>
        <v>0</v>
      </c>
      <c r="H11" s="97">
        <f t="shared" si="1"/>
        <v>85000</v>
      </c>
      <c r="I11" s="97">
        <f t="shared" si="1"/>
        <v>123250</v>
      </c>
      <c r="J11" s="97">
        <f t="shared" si="1"/>
        <v>140250</v>
      </c>
      <c r="K11" s="97">
        <f t="shared" si="1"/>
        <v>170000</v>
      </c>
      <c r="L11" s="97">
        <f t="shared" si="1"/>
        <v>191250</v>
      </c>
      <c r="M11" s="97">
        <f t="shared" si="1"/>
        <v>212500</v>
      </c>
      <c r="N11" s="97">
        <f t="shared" si="1"/>
        <v>212500</v>
      </c>
      <c r="O11" s="97">
        <f t="shared" si="1"/>
        <v>212500</v>
      </c>
      <c r="P11" s="97">
        <f t="shared" si="1"/>
        <v>212500</v>
      </c>
      <c r="Q11" s="97">
        <f t="shared" si="1"/>
        <v>212500</v>
      </c>
      <c r="R11" s="97">
        <f t="shared" si="1"/>
        <v>212500</v>
      </c>
      <c r="S11" s="97">
        <f t="shared" si="1"/>
        <v>212500</v>
      </c>
    </row>
    <row r="12" spans="1:19" s="118" customFormat="1" ht="19.5" customHeight="1">
      <c r="A12" s="19"/>
      <c r="B12" s="20" t="s">
        <v>62</v>
      </c>
      <c r="C12" s="19"/>
      <c r="D12" s="98">
        <v>0.05</v>
      </c>
      <c r="E12" s="99"/>
      <c r="F12" s="99"/>
      <c r="G12" s="99"/>
      <c r="H12" s="99"/>
      <c r="I12" s="99"/>
      <c r="J12" s="99"/>
      <c r="K12" s="99"/>
      <c r="L12" s="99"/>
      <c r="M12" s="99"/>
      <c r="N12" s="99"/>
      <c r="O12" s="99"/>
      <c r="P12" s="99"/>
      <c r="Q12" s="99"/>
      <c r="R12" s="99"/>
      <c r="S12" s="99"/>
    </row>
    <row r="13" spans="1:19" s="118" customFormat="1" ht="19.5" customHeight="1">
      <c r="A13" s="53"/>
      <c r="B13" s="84" t="s">
        <v>63</v>
      </c>
      <c r="C13" s="110"/>
      <c r="D13" s="100">
        <v>33</v>
      </c>
      <c r="E13" s="100">
        <f>ROUND(E9*$D$13,1)</f>
        <v>34</v>
      </c>
      <c r="F13" s="100">
        <f aca="true" t="shared" si="2" ref="F13:S13">ROUND(F9*$D$13,1)</f>
        <v>35</v>
      </c>
      <c r="G13" s="100">
        <f t="shared" si="2"/>
        <v>36.1</v>
      </c>
      <c r="H13" s="100">
        <f t="shared" si="2"/>
        <v>37.1</v>
      </c>
      <c r="I13" s="100">
        <f t="shared" si="2"/>
        <v>38.3</v>
      </c>
      <c r="J13" s="100">
        <f t="shared" si="2"/>
        <v>39.4</v>
      </c>
      <c r="K13" s="100">
        <f t="shared" si="2"/>
        <v>40.6</v>
      </c>
      <c r="L13" s="100">
        <f t="shared" si="2"/>
        <v>41.8</v>
      </c>
      <c r="M13" s="100">
        <f t="shared" si="2"/>
        <v>43.1</v>
      </c>
      <c r="N13" s="100">
        <f t="shared" si="2"/>
        <v>44.3</v>
      </c>
      <c r="O13" s="100">
        <f t="shared" si="2"/>
        <v>45.7</v>
      </c>
      <c r="P13" s="100">
        <f t="shared" si="2"/>
        <v>47.1</v>
      </c>
      <c r="Q13" s="100">
        <f t="shared" si="2"/>
        <v>48.5</v>
      </c>
      <c r="R13" s="100">
        <f t="shared" si="2"/>
        <v>49.9</v>
      </c>
      <c r="S13" s="100">
        <f t="shared" si="2"/>
        <v>51.4</v>
      </c>
    </row>
    <row r="14" spans="1:19" s="118" customFormat="1" ht="19.5" customHeight="1">
      <c r="A14" s="19"/>
      <c r="B14" s="19"/>
      <c r="C14" s="19"/>
      <c r="D14" s="19"/>
      <c r="E14" s="101"/>
      <c r="F14" s="101"/>
      <c r="G14" s="101"/>
      <c r="H14" s="101"/>
      <c r="I14" s="101"/>
      <c r="J14" s="101"/>
      <c r="K14" s="101"/>
      <c r="L14" s="101"/>
      <c r="M14" s="101"/>
      <c r="N14" s="101"/>
      <c r="O14" s="101"/>
      <c r="P14" s="101"/>
      <c r="Q14" s="101"/>
      <c r="R14" s="101"/>
      <c r="S14" s="101"/>
    </row>
    <row r="15" spans="1:19" s="118" customFormat="1" ht="19.5" customHeight="1">
      <c r="A15" s="48"/>
      <c r="B15" s="64" t="s">
        <v>86</v>
      </c>
      <c r="C15" s="48"/>
      <c r="D15" s="65"/>
      <c r="E15" s="65"/>
      <c r="F15" s="65"/>
      <c r="G15" s="65"/>
      <c r="H15" s="65"/>
      <c r="I15" s="65"/>
      <c r="J15" s="65"/>
      <c r="K15" s="65"/>
      <c r="L15" s="65"/>
      <c r="M15" s="65"/>
      <c r="N15" s="65"/>
      <c r="O15" s="48"/>
      <c r="P15" s="48"/>
      <c r="Q15" s="48"/>
      <c r="R15" s="48"/>
      <c r="S15" s="48"/>
    </row>
    <row r="16" spans="1:19" s="118" customFormat="1" ht="19.5" customHeight="1">
      <c r="A16" s="19"/>
      <c r="B16" s="35" t="s">
        <v>64</v>
      </c>
      <c r="C16" s="19"/>
      <c r="D16" s="19"/>
      <c r="E16" s="39">
        <f aca="true" t="shared" si="3" ref="E16:S16">(E10*E13*(1-$D$12))/1000</f>
        <v>0</v>
      </c>
      <c r="F16" s="39">
        <f t="shared" si="3"/>
        <v>0</v>
      </c>
      <c r="G16" s="39">
        <f t="shared" si="3"/>
        <v>0</v>
      </c>
      <c r="H16" s="39">
        <f t="shared" si="3"/>
        <v>3524.5</v>
      </c>
      <c r="I16" s="39">
        <f t="shared" si="3"/>
        <v>5275.825</v>
      </c>
      <c r="J16" s="39">
        <f t="shared" si="3"/>
        <v>6175.95</v>
      </c>
      <c r="K16" s="39">
        <f t="shared" si="3"/>
        <v>7714</v>
      </c>
      <c r="L16" s="39">
        <f t="shared" si="3"/>
        <v>8934.75</v>
      </c>
      <c r="M16" s="39">
        <f t="shared" si="3"/>
        <v>10236.25</v>
      </c>
      <c r="N16" s="39">
        <f t="shared" si="3"/>
        <v>10521.25</v>
      </c>
      <c r="O16" s="39">
        <f t="shared" si="3"/>
        <v>10853.75</v>
      </c>
      <c r="P16" s="39">
        <f t="shared" si="3"/>
        <v>11186.25</v>
      </c>
      <c r="Q16" s="39">
        <f t="shared" si="3"/>
        <v>11518.75</v>
      </c>
      <c r="R16" s="39">
        <f t="shared" si="3"/>
        <v>11851.25</v>
      </c>
      <c r="S16" s="39">
        <f t="shared" si="3"/>
        <v>12207.5</v>
      </c>
    </row>
    <row r="17" spans="1:19" s="118" customFormat="1" ht="19.5" customHeight="1">
      <c r="A17" s="19"/>
      <c r="B17" s="19" t="s">
        <v>87</v>
      </c>
      <c r="C17" s="19"/>
      <c r="D17" s="100">
        <v>5.5</v>
      </c>
      <c r="E17" s="39">
        <f>+E10*$D$17*E9/1000</f>
        <v>0</v>
      </c>
      <c r="F17" s="39">
        <f aca="true" t="shared" si="4" ref="F17:S17">+F10*$D$17*F9/1000</f>
        <v>0</v>
      </c>
      <c r="G17" s="39">
        <f t="shared" si="4"/>
        <v>0</v>
      </c>
      <c r="H17" s="39">
        <f t="shared" si="4"/>
        <v>619.0298455000001</v>
      </c>
      <c r="I17" s="39">
        <f t="shared" si="4"/>
        <v>924.52107425425</v>
      </c>
      <c r="J17" s="39">
        <f t="shared" si="4"/>
        <v>1083.6024591000676</v>
      </c>
      <c r="K17" s="39">
        <f t="shared" si="4"/>
        <v>1352.8612519673572</v>
      </c>
      <c r="L17" s="39">
        <f t="shared" si="4"/>
        <v>1567.6279757171753</v>
      </c>
      <c r="M17" s="39">
        <f t="shared" si="4"/>
        <v>1794.0631277652117</v>
      </c>
      <c r="N17" s="39">
        <f t="shared" si="4"/>
        <v>1847.885021598168</v>
      </c>
      <c r="O17" s="39">
        <f t="shared" si="4"/>
        <v>1903.3215722461132</v>
      </c>
      <c r="P17" s="39">
        <f t="shared" si="4"/>
        <v>1960.4212194134966</v>
      </c>
      <c r="Q17" s="39">
        <f t="shared" si="4"/>
        <v>2019.2338559959016</v>
      </c>
      <c r="R17" s="39">
        <f t="shared" si="4"/>
        <v>2079.810871675779</v>
      </c>
      <c r="S17" s="39">
        <f t="shared" si="4"/>
        <v>2142.205197826052</v>
      </c>
    </row>
    <row r="18" spans="1:19" s="118" customFormat="1" ht="19.5" customHeight="1">
      <c r="A18" s="53"/>
      <c r="B18" s="54" t="s">
        <v>86</v>
      </c>
      <c r="C18" s="53"/>
      <c r="D18" s="53"/>
      <c r="E18" s="55">
        <f aca="true" t="shared" si="5" ref="E18:S18">E16-E17</f>
        <v>0</v>
      </c>
      <c r="F18" s="55">
        <f t="shared" si="5"/>
        <v>0</v>
      </c>
      <c r="G18" s="55">
        <f t="shared" si="5"/>
        <v>0</v>
      </c>
      <c r="H18" s="55">
        <f t="shared" si="5"/>
        <v>2905.4701545</v>
      </c>
      <c r="I18" s="55">
        <f t="shared" si="5"/>
        <v>4351.303925745749</v>
      </c>
      <c r="J18" s="55">
        <f t="shared" si="5"/>
        <v>5092.347540899932</v>
      </c>
      <c r="K18" s="55">
        <f t="shared" si="5"/>
        <v>6361.138748032643</v>
      </c>
      <c r="L18" s="55">
        <f t="shared" si="5"/>
        <v>7367.122024282825</v>
      </c>
      <c r="M18" s="55">
        <f t="shared" si="5"/>
        <v>8442.186872234788</v>
      </c>
      <c r="N18" s="55">
        <f t="shared" si="5"/>
        <v>8673.364978401833</v>
      </c>
      <c r="O18" s="55">
        <f t="shared" si="5"/>
        <v>8950.428427753886</v>
      </c>
      <c r="P18" s="55">
        <f t="shared" si="5"/>
        <v>9225.828780586504</v>
      </c>
      <c r="Q18" s="55">
        <f t="shared" si="5"/>
        <v>9499.516144004097</v>
      </c>
      <c r="R18" s="55">
        <f t="shared" si="5"/>
        <v>9771.439128324222</v>
      </c>
      <c r="S18" s="55">
        <f t="shared" si="5"/>
        <v>10065.294802173948</v>
      </c>
    </row>
    <row r="19" spans="1:19" s="118" customFormat="1" ht="19.5" customHeight="1">
      <c r="A19" s="19"/>
      <c r="B19" s="19"/>
      <c r="C19" s="19"/>
      <c r="D19" s="19"/>
      <c r="E19" s="19"/>
      <c r="F19" s="19"/>
      <c r="G19" s="19"/>
      <c r="H19" s="19"/>
      <c r="I19" s="19"/>
      <c r="J19" s="19"/>
      <c r="K19" s="19"/>
      <c r="L19" s="19"/>
      <c r="M19" s="19"/>
      <c r="N19" s="19"/>
      <c r="O19" s="19"/>
      <c r="P19" s="19"/>
      <c r="Q19" s="19"/>
      <c r="R19" s="19"/>
      <c r="S19" s="19"/>
    </row>
    <row r="20" spans="1:19" s="118" customFormat="1" ht="19.5" customHeight="1">
      <c r="A20" s="48"/>
      <c r="B20" s="68" t="s">
        <v>88</v>
      </c>
      <c r="C20" s="48"/>
      <c r="D20" s="48"/>
      <c r="E20" s="48"/>
      <c r="F20" s="48"/>
      <c r="G20" s="48"/>
      <c r="H20" s="48"/>
      <c r="I20" s="48"/>
      <c r="J20" s="48"/>
      <c r="K20" s="48"/>
      <c r="L20" s="48"/>
      <c r="M20" s="48"/>
      <c r="N20" s="48"/>
      <c r="O20" s="48"/>
      <c r="P20" s="48"/>
      <c r="Q20" s="48"/>
      <c r="R20" s="48"/>
      <c r="S20" s="48"/>
    </row>
    <row r="21" spans="1:19" s="118" customFormat="1" ht="19.5" customHeight="1">
      <c r="A21" s="19"/>
      <c r="B21" s="19" t="s">
        <v>89</v>
      </c>
      <c r="C21" s="19"/>
      <c r="D21" s="19"/>
      <c r="E21" s="42">
        <f>+F22-E22</f>
        <v>0</v>
      </c>
      <c r="F21" s="42">
        <f aca="true" t="shared" si="6" ref="F21:R21">+G22-F22</f>
        <v>0</v>
      </c>
      <c r="G21" s="42">
        <f t="shared" si="6"/>
        <v>0.4</v>
      </c>
      <c r="H21" s="42">
        <f t="shared" si="6"/>
        <v>0.17999999999999994</v>
      </c>
      <c r="I21" s="42">
        <f t="shared" si="6"/>
        <v>0.08000000000000007</v>
      </c>
      <c r="J21" s="42">
        <f t="shared" si="6"/>
        <v>0.14</v>
      </c>
      <c r="K21" s="42">
        <f t="shared" si="6"/>
        <v>0.09999999999999998</v>
      </c>
      <c r="L21" s="42">
        <f t="shared" si="6"/>
        <v>0.09999999999999998</v>
      </c>
      <c r="M21" s="42">
        <f t="shared" si="6"/>
        <v>0</v>
      </c>
      <c r="N21" s="42">
        <f t="shared" si="6"/>
        <v>0</v>
      </c>
      <c r="O21" s="42">
        <f t="shared" si="6"/>
        <v>0</v>
      </c>
      <c r="P21" s="42">
        <f t="shared" si="6"/>
        <v>0</v>
      </c>
      <c r="Q21" s="42">
        <f t="shared" si="6"/>
        <v>0</v>
      </c>
      <c r="R21" s="42">
        <f t="shared" si="6"/>
        <v>0</v>
      </c>
      <c r="S21" s="42">
        <v>0</v>
      </c>
    </row>
    <row r="22" spans="1:19" s="118" customFormat="1" ht="19.5" customHeight="1" hidden="1">
      <c r="A22" s="19"/>
      <c r="B22" s="19" t="s">
        <v>89</v>
      </c>
      <c r="C22" s="19"/>
      <c r="D22" s="19"/>
      <c r="E22" s="42">
        <f aca="true" t="shared" si="7" ref="E22:S22">+E10/$D$10</f>
        <v>0</v>
      </c>
      <c r="F22" s="42">
        <f t="shared" si="7"/>
        <v>0</v>
      </c>
      <c r="G22" s="42">
        <f t="shared" si="7"/>
        <v>0</v>
      </c>
      <c r="H22" s="42">
        <f t="shared" si="7"/>
        <v>0.4</v>
      </c>
      <c r="I22" s="42">
        <f t="shared" si="7"/>
        <v>0.58</v>
      </c>
      <c r="J22" s="42">
        <f t="shared" si="7"/>
        <v>0.66</v>
      </c>
      <c r="K22" s="42">
        <f t="shared" si="7"/>
        <v>0.8</v>
      </c>
      <c r="L22" s="42">
        <f t="shared" si="7"/>
        <v>0.9</v>
      </c>
      <c r="M22" s="42">
        <f t="shared" si="7"/>
        <v>1</v>
      </c>
      <c r="N22" s="42">
        <f t="shared" si="7"/>
        <v>1</v>
      </c>
      <c r="O22" s="42">
        <f t="shared" si="7"/>
        <v>1</v>
      </c>
      <c r="P22" s="42">
        <f t="shared" si="7"/>
        <v>1</v>
      </c>
      <c r="Q22" s="42">
        <f t="shared" si="7"/>
        <v>1</v>
      </c>
      <c r="R22" s="42">
        <f t="shared" si="7"/>
        <v>1</v>
      </c>
      <c r="S22" s="42">
        <f t="shared" si="7"/>
        <v>1</v>
      </c>
    </row>
    <row r="23" spans="1:19" s="118" customFormat="1" ht="19.5" customHeight="1">
      <c r="A23" s="19"/>
      <c r="B23" s="19" t="s">
        <v>88</v>
      </c>
      <c r="C23" s="19"/>
      <c r="D23" s="88">
        <f>+'Development Costs'!I16*Retail!D10</f>
        <v>50875000</v>
      </c>
      <c r="E23" s="39">
        <f aca="true" t="shared" si="8" ref="E23:S23">+$D$23*E21*E9/1000</f>
        <v>0</v>
      </c>
      <c r="F23" s="39">
        <f t="shared" si="8"/>
        <v>0</v>
      </c>
      <c r="G23" s="39">
        <f t="shared" si="8"/>
        <v>22236.99445</v>
      </c>
      <c r="H23" s="39">
        <f t="shared" si="8"/>
        <v>10306.846927574998</v>
      </c>
      <c r="I23" s="39">
        <f t="shared" si="8"/>
        <v>4718.245482401005</v>
      </c>
      <c r="J23" s="39">
        <f t="shared" si="8"/>
        <v>8504.637482027805</v>
      </c>
      <c r="K23" s="39">
        <f t="shared" si="8"/>
        <v>6256.983290349026</v>
      </c>
      <c r="L23" s="39">
        <f t="shared" si="8"/>
        <v>6444.692789059497</v>
      </c>
      <c r="M23" s="39">
        <f t="shared" si="8"/>
        <v>0</v>
      </c>
      <c r="N23" s="39">
        <f t="shared" si="8"/>
        <v>0</v>
      </c>
      <c r="O23" s="39">
        <f t="shared" si="8"/>
        <v>0</v>
      </c>
      <c r="P23" s="39">
        <f t="shared" si="8"/>
        <v>0</v>
      </c>
      <c r="Q23" s="39">
        <f t="shared" si="8"/>
        <v>0</v>
      </c>
      <c r="R23" s="39">
        <f t="shared" si="8"/>
        <v>0</v>
      </c>
      <c r="S23" s="39">
        <f t="shared" si="8"/>
        <v>0</v>
      </c>
    </row>
    <row r="24" spans="1:19" s="118" customFormat="1" ht="19.5" customHeight="1">
      <c r="A24" s="19"/>
      <c r="B24" s="19" t="s">
        <v>139</v>
      </c>
      <c r="C24" s="19"/>
      <c r="D24" s="269"/>
      <c r="E24" s="39">
        <f>+'Infrastructure Costs'!E15</f>
        <v>918.4135283363803</v>
      </c>
      <c r="F24" s="39">
        <f>+'Infrastructure Costs'!F15</f>
        <v>0</v>
      </c>
      <c r="G24" s="39">
        <f>+'Infrastructure Costs'!G15</f>
        <v>0</v>
      </c>
      <c r="H24" s="39">
        <f>+'Infrastructure Costs'!H15</f>
        <v>0</v>
      </c>
      <c r="I24" s="39">
        <f>+'Infrastructure Costs'!I15</f>
        <v>0</v>
      </c>
      <c r="J24" s="39">
        <f>+'Infrastructure Costs'!J15</f>
        <v>548.4782084568128</v>
      </c>
      <c r="K24" s="39">
        <f>+'Infrastructure Costs'!K15</f>
        <v>0</v>
      </c>
      <c r="L24" s="39">
        <f>+'Infrastructure Costs'!L15</f>
        <v>0</v>
      </c>
      <c r="M24" s="39">
        <f>+'Infrastructure Costs'!M15</f>
        <v>0</v>
      </c>
      <c r="N24" s="39">
        <f>+'Infrastructure Costs'!N15</f>
        <v>0</v>
      </c>
      <c r="O24" s="39">
        <f>+'Infrastructure Costs'!O15</f>
        <v>0</v>
      </c>
      <c r="P24" s="39">
        <f>+'Infrastructure Costs'!P15</f>
        <v>0</v>
      </c>
      <c r="Q24" s="39">
        <f>+'Infrastructure Costs'!Q15</f>
        <v>0</v>
      </c>
      <c r="R24" s="39">
        <f>+'Infrastructure Costs'!R15</f>
        <v>0</v>
      </c>
      <c r="S24" s="39">
        <f>+'Infrastructure Costs'!S15</f>
        <v>0</v>
      </c>
    </row>
    <row r="25" spans="1:19" s="119" customFormat="1" ht="19.5" customHeight="1">
      <c r="A25" s="54"/>
      <c r="B25" s="54" t="s">
        <v>96</v>
      </c>
      <c r="C25" s="54"/>
      <c r="D25" s="54"/>
      <c r="E25" s="58">
        <f>+E24+E23</f>
        <v>918.4135283363803</v>
      </c>
      <c r="F25" s="58">
        <f aca="true" t="shared" si="9" ref="F25:S25">+F24+F23</f>
        <v>0</v>
      </c>
      <c r="G25" s="58">
        <f t="shared" si="9"/>
        <v>22236.99445</v>
      </c>
      <c r="H25" s="58">
        <f t="shared" si="9"/>
        <v>10306.846927574998</v>
      </c>
      <c r="I25" s="58">
        <f t="shared" si="9"/>
        <v>4718.245482401005</v>
      </c>
      <c r="J25" s="58">
        <f t="shared" si="9"/>
        <v>9053.115690484618</v>
      </c>
      <c r="K25" s="58">
        <f t="shared" si="9"/>
        <v>6256.983290349026</v>
      </c>
      <c r="L25" s="58">
        <f t="shared" si="9"/>
        <v>6444.692789059497</v>
      </c>
      <c r="M25" s="58">
        <f t="shared" si="9"/>
        <v>0</v>
      </c>
      <c r="N25" s="58">
        <f t="shared" si="9"/>
        <v>0</v>
      </c>
      <c r="O25" s="58">
        <f t="shared" si="9"/>
        <v>0</v>
      </c>
      <c r="P25" s="58">
        <f t="shared" si="9"/>
        <v>0</v>
      </c>
      <c r="Q25" s="58">
        <f t="shared" si="9"/>
        <v>0</v>
      </c>
      <c r="R25" s="58">
        <f t="shared" si="9"/>
        <v>0</v>
      </c>
      <c r="S25" s="58">
        <f t="shared" si="9"/>
        <v>0</v>
      </c>
    </row>
    <row r="26" spans="1:19" s="118" customFormat="1" ht="19.5" customHeight="1">
      <c r="A26" s="19"/>
      <c r="B26" s="19"/>
      <c r="C26" s="19"/>
      <c r="D26" s="19"/>
      <c r="E26" s="19"/>
      <c r="F26" s="19"/>
      <c r="G26" s="19"/>
      <c r="H26" s="19"/>
      <c r="I26" s="19"/>
      <c r="J26" s="19"/>
      <c r="K26" s="19"/>
      <c r="L26" s="19"/>
      <c r="M26" s="19"/>
      <c r="N26" s="19"/>
      <c r="O26" s="19"/>
      <c r="P26" s="19"/>
      <c r="Q26" s="19"/>
      <c r="R26" s="19"/>
      <c r="S26" s="19"/>
    </row>
    <row r="27" spans="1:19" s="118" customFormat="1" ht="19.5" customHeight="1">
      <c r="A27" s="48"/>
      <c r="B27" s="68" t="s">
        <v>118</v>
      </c>
      <c r="C27" s="48"/>
      <c r="D27" s="48"/>
      <c r="E27" s="48"/>
      <c r="F27" s="48"/>
      <c r="G27" s="48"/>
      <c r="H27" s="48"/>
      <c r="I27" s="48"/>
      <c r="J27" s="48"/>
      <c r="K27" s="48"/>
      <c r="L27" s="48"/>
      <c r="M27" s="48"/>
      <c r="N27" s="48"/>
      <c r="O27" s="48"/>
      <c r="P27" s="48"/>
      <c r="Q27" s="48"/>
      <c r="R27" s="48"/>
      <c r="S27" s="48"/>
    </row>
    <row r="28" spans="1:19" s="118" customFormat="1" ht="19.5" customHeight="1">
      <c r="A28" s="19"/>
      <c r="B28" s="19" t="str">
        <f>+B18</f>
        <v>Net Operating Income</v>
      </c>
      <c r="C28" s="19"/>
      <c r="D28" s="19"/>
      <c r="E28" s="39">
        <f>+E18</f>
        <v>0</v>
      </c>
      <c r="F28" s="39">
        <f aca="true" t="shared" si="10" ref="F28:S28">+F18</f>
        <v>0</v>
      </c>
      <c r="G28" s="39">
        <f t="shared" si="10"/>
        <v>0</v>
      </c>
      <c r="H28" s="39">
        <f t="shared" si="10"/>
        <v>2905.4701545</v>
      </c>
      <c r="I28" s="39">
        <f t="shared" si="10"/>
        <v>4351.303925745749</v>
      </c>
      <c r="J28" s="39">
        <f t="shared" si="10"/>
        <v>5092.347540899932</v>
      </c>
      <c r="K28" s="39">
        <f t="shared" si="10"/>
        <v>6361.138748032643</v>
      </c>
      <c r="L28" s="39">
        <f t="shared" si="10"/>
        <v>7367.122024282825</v>
      </c>
      <c r="M28" s="39">
        <f t="shared" si="10"/>
        <v>8442.186872234788</v>
      </c>
      <c r="N28" s="39">
        <f t="shared" si="10"/>
        <v>8673.364978401833</v>
      </c>
      <c r="O28" s="39">
        <f t="shared" si="10"/>
        <v>8950.428427753886</v>
      </c>
      <c r="P28" s="39">
        <f t="shared" si="10"/>
        <v>9225.828780586504</v>
      </c>
      <c r="Q28" s="39">
        <f t="shared" si="10"/>
        <v>9499.516144004097</v>
      </c>
      <c r="R28" s="39">
        <f t="shared" si="10"/>
        <v>9771.439128324222</v>
      </c>
      <c r="S28" s="39">
        <f t="shared" si="10"/>
        <v>10065.294802173948</v>
      </c>
    </row>
    <row r="29" spans="1:19" s="118" customFormat="1" ht="19.5" customHeight="1">
      <c r="A29" s="19"/>
      <c r="B29" s="19" t="s">
        <v>127</v>
      </c>
      <c r="C29" s="43">
        <v>0.1</v>
      </c>
      <c r="D29" s="19"/>
      <c r="E29" s="39"/>
      <c r="F29" s="39"/>
      <c r="G29" s="39"/>
      <c r="H29" s="39"/>
      <c r="I29" s="39"/>
      <c r="J29" s="39"/>
      <c r="K29" s="39"/>
      <c r="L29" s="39"/>
      <c r="M29" s="39"/>
      <c r="N29" s="39"/>
      <c r="O29" s="39"/>
      <c r="P29" s="39"/>
      <c r="Q29" s="39"/>
      <c r="R29" s="39"/>
      <c r="S29" s="104">
        <f>+S28/C29</f>
        <v>100652.94802173947</v>
      </c>
    </row>
    <row r="30" spans="1:19" s="118" customFormat="1" ht="19.5" customHeight="1">
      <c r="A30" s="19"/>
      <c r="B30" s="19" t="s">
        <v>119</v>
      </c>
      <c r="C30" s="43">
        <v>0.05</v>
      </c>
      <c r="D30" s="19"/>
      <c r="E30" s="39"/>
      <c r="F30" s="39"/>
      <c r="G30" s="39"/>
      <c r="H30" s="39"/>
      <c r="I30" s="39"/>
      <c r="J30" s="39"/>
      <c r="K30" s="39"/>
      <c r="L30" s="39"/>
      <c r="M30" s="39"/>
      <c r="N30" s="39"/>
      <c r="O30" s="39"/>
      <c r="P30" s="39"/>
      <c r="Q30" s="39"/>
      <c r="R30" s="39"/>
      <c r="S30" s="104">
        <f>-S29*C30</f>
        <v>-5032.647401086974</v>
      </c>
    </row>
    <row r="31" spans="1:19" s="118" customFormat="1" ht="19.5" customHeight="1">
      <c r="A31" s="19"/>
      <c r="B31" s="19" t="str">
        <f>+B25</f>
        <v>Total Development Costs</v>
      </c>
      <c r="C31" s="19"/>
      <c r="D31" s="19"/>
      <c r="E31" s="44">
        <f>-E25</f>
        <v>-918.4135283363803</v>
      </c>
      <c r="F31" s="44">
        <f aca="true" t="shared" si="11" ref="F31:S31">-F25</f>
        <v>0</v>
      </c>
      <c r="G31" s="44">
        <f t="shared" si="11"/>
        <v>-22236.99445</v>
      </c>
      <c r="H31" s="44">
        <f t="shared" si="11"/>
        <v>-10306.846927574998</v>
      </c>
      <c r="I31" s="44">
        <f t="shared" si="11"/>
        <v>-4718.245482401005</v>
      </c>
      <c r="J31" s="44">
        <f t="shared" si="11"/>
        <v>-9053.115690484618</v>
      </c>
      <c r="K31" s="44">
        <f t="shared" si="11"/>
        <v>-6256.983290349026</v>
      </c>
      <c r="L31" s="44">
        <f t="shared" si="11"/>
        <v>-6444.692789059497</v>
      </c>
      <c r="M31" s="44">
        <f t="shared" si="11"/>
        <v>0</v>
      </c>
      <c r="N31" s="44">
        <f t="shared" si="11"/>
        <v>0</v>
      </c>
      <c r="O31" s="44">
        <f t="shared" si="11"/>
        <v>0</v>
      </c>
      <c r="P31" s="44">
        <f t="shared" si="11"/>
        <v>0</v>
      </c>
      <c r="Q31" s="44">
        <f t="shared" si="11"/>
        <v>0</v>
      </c>
      <c r="R31" s="44">
        <f t="shared" si="11"/>
        <v>0</v>
      </c>
      <c r="S31" s="44">
        <f t="shared" si="11"/>
        <v>0</v>
      </c>
    </row>
    <row r="32" spans="1:19" s="118" customFormat="1" ht="19.5" customHeight="1">
      <c r="A32" s="53"/>
      <c r="B32" s="53" t="s">
        <v>90</v>
      </c>
      <c r="C32" s="53"/>
      <c r="D32" s="59"/>
      <c r="E32" s="55">
        <f>SUM(E28:E31)</f>
        <v>-918.4135283363803</v>
      </c>
      <c r="F32" s="55">
        <f aca="true" t="shared" si="12" ref="F32:S32">SUM(F28:F31)</f>
        <v>0</v>
      </c>
      <c r="G32" s="55">
        <f t="shared" si="12"/>
        <v>-22236.99445</v>
      </c>
      <c r="H32" s="55">
        <f t="shared" si="12"/>
        <v>-7401.376773074998</v>
      </c>
      <c r="I32" s="55">
        <f t="shared" si="12"/>
        <v>-366.9415566552552</v>
      </c>
      <c r="J32" s="55">
        <f t="shared" si="12"/>
        <v>-3960.7681495846855</v>
      </c>
      <c r="K32" s="55">
        <f t="shared" si="12"/>
        <v>104.15545768361699</v>
      </c>
      <c r="L32" s="55">
        <f t="shared" si="12"/>
        <v>922.4292352233279</v>
      </c>
      <c r="M32" s="55">
        <f t="shared" si="12"/>
        <v>8442.186872234788</v>
      </c>
      <c r="N32" s="55">
        <f t="shared" si="12"/>
        <v>8673.364978401833</v>
      </c>
      <c r="O32" s="55">
        <f t="shared" si="12"/>
        <v>8950.428427753886</v>
      </c>
      <c r="P32" s="55">
        <f t="shared" si="12"/>
        <v>9225.828780586504</v>
      </c>
      <c r="Q32" s="55">
        <f t="shared" si="12"/>
        <v>9499.516144004097</v>
      </c>
      <c r="R32" s="55">
        <f t="shared" si="12"/>
        <v>9771.439128324222</v>
      </c>
      <c r="S32" s="55">
        <f t="shared" si="12"/>
        <v>105685.59542282645</v>
      </c>
    </row>
    <row r="33" spans="1:19" s="118" customFormat="1" ht="19.5" customHeight="1">
      <c r="A33" s="19"/>
      <c r="B33" s="19"/>
      <c r="C33" s="19"/>
      <c r="D33" s="19"/>
      <c r="E33" s="19"/>
      <c r="F33" s="19"/>
      <c r="G33" s="19"/>
      <c r="H33" s="19"/>
      <c r="I33" s="19"/>
      <c r="J33" s="19"/>
      <c r="K33" s="19"/>
      <c r="L33" s="19"/>
      <c r="M33" s="19"/>
      <c r="N33" s="19"/>
      <c r="O33" s="19"/>
      <c r="P33" s="19"/>
      <c r="Q33" s="19"/>
      <c r="R33" s="19"/>
      <c r="S33" s="19"/>
    </row>
    <row r="34" spans="1:19" s="118" customFormat="1" ht="19.5" customHeight="1">
      <c r="A34" s="47"/>
      <c r="B34" s="60" t="s">
        <v>121</v>
      </c>
      <c r="C34" s="107">
        <v>0.1</v>
      </c>
      <c r="D34" s="112">
        <f>NPV(C34,E32:S32)</f>
        <v>19049.092684277115</v>
      </c>
      <c r="E34" s="57"/>
      <c r="F34" s="57"/>
      <c r="G34" s="120"/>
      <c r="H34" s="60" t="s">
        <v>91</v>
      </c>
      <c r="I34" s="121">
        <f>IRR(E32:S32,-0.1)</f>
        <v>0.164974923501486</v>
      </c>
      <c r="J34" s="57"/>
      <c r="K34" s="57"/>
      <c r="L34" s="57"/>
      <c r="M34" s="57"/>
      <c r="N34" s="57"/>
      <c r="O34" s="57"/>
      <c r="P34" s="57"/>
      <c r="Q34" s="57"/>
      <c r="R34" s="57"/>
      <c r="S34" s="57"/>
    </row>
    <row r="35" spans="1:19" s="118" customFormat="1" ht="19.5" customHeight="1">
      <c r="A35" s="19"/>
      <c r="B35" s="19"/>
      <c r="C35" s="19"/>
      <c r="D35" s="19"/>
      <c r="E35" s="19"/>
      <c r="F35" s="19"/>
      <c r="G35" s="19"/>
      <c r="H35" s="19"/>
      <c r="I35" s="19"/>
      <c r="J35" s="19"/>
      <c r="K35" s="19"/>
      <c r="L35" s="19"/>
      <c r="M35" s="19"/>
      <c r="N35" s="19"/>
      <c r="O35" s="19"/>
      <c r="P35" s="19"/>
      <c r="Q35" s="19"/>
      <c r="R35" s="19"/>
      <c r="S35" s="19"/>
    </row>
    <row r="36" spans="1:19" s="118" customFormat="1" ht="19.5" customHeight="1">
      <c r="A36" s="46" t="s">
        <v>120</v>
      </c>
      <c r="B36" s="19"/>
      <c r="C36" s="19"/>
      <c r="D36" s="19"/>
      <c r="E36" s="19"/>
      <c r="F36" s="19"/>
      <c r="G36" s="19"/>
      <c r="H36" s="19"/>
      <c r="I36" s="19"/>
      <c r="J36" s="19"/>
      <c r="K36" s="19"/>
      <c r="L36" s="19"/>
      <c r="M36" s="19"/>
      <c r="N36" s="19"/>
      <c r="O36" s="19"/>
      <c r="P36" s="19"/>
      <c r="Q36" s="19"/>
      <c r="R36" s="19"/>
      <c r="S36" s="19"/>
    </row>
    <row r="37" spans="1:19" s="118" customFormat="1" ht="19.5" customHeight="1">
      <c r="A37" s="19"/>
      <c r="B37" s="19"/>
      <c r="C37" s="19"/>
      <c r="D37" s="19"/>
      <c r="E37" s="19"/>
      <c r="F37" s="19"/>
      <c r="G37" s="19"/>
      <c r="H37" s="19"/>
      <c r="I37" s="19"/>
      <c r="J37" s="19"/>
      <c r="K37" s="19"/>
      <c r="L37" s="19"/>
      <c r="M37" s="19"/>
      <c r="N37" s="19"/>
      <c r="O37" s="19"/>
      <c r="P37" s="19"/>
      <c r="Q37" s="19"/>
      <c r="R37" s="19"/>
      <c r="S37" s="19"/>
    </row>
    <row r="38" spans="1:19" ht="16.5" thickBot="1">
      <c r="A38" s="115" t="s">
        <v>122</v>
      </c>
      <c r="B38" s="115"/>
      <c r="C38" s="115"/>
      <c r="D38" s="115"/>
      <c r="E38" s="115"/>
      <c r="F38" s="115"/>
      <c r="G38" s="115"/>
      <c r="H38" s="115"/>
      <c r="I38" s="115"/>
      <c r="J38" s="115"/>
      <c r="K38" s="115"/>
      <c r="L38" s="115"/>
      <c r="M38" s="115"/>
      <c r="N38" s="115"/>
      <c r="O38" s="115"/>
      <c r="P38" s="115"/>
      <c r="Q38" s="115"/>
      <c r="R38" s="115"/>
      <c r="S38" s="115"/>
    </row>
    <row r="39" spans="1:19" ht="16.5" thickTop="1">
      <c r="A39" s="15"/>
      <c r="B39" s="15"/>
      <c r="C39" s="15"/>
      <c r="D39" s="15"/>
      <c r="E39" s="15"/>
      <c r="F39" s="15"/>
      <c r="G39" s="15"/>
      <c r="H39" s="15"/>
      <c r="I39" s="15"/>
      <c r="J39" s="15"/>
      <c r="K39" s="15"/>
      <c r="L39" s="15"/>
      <c r="M39" s="15"/>
      <c r="N39" s="15"/>
      <c r="O39" s="15"/>
      <c r="P39" s="15"/>
      <c r="Q39" s="15"/>
      <c r="R39" s="15"/>
      <c r="S39" s="15"/>
    </row>
    <row r="40" spans="1:19" ht="15.75">
      <c r="A40" s="15"/>
      <c r="B40" s="15"/>
      <c r="C40" s="15"/>
      <c r="D40" s="15"/>
      <c r="E40" s="15"/>
      <c r="F40" s="15"/>
      <c r="G40" s="15"/>
      <c r="H40" s="15"/>
      <c r="I40" s="15"/>
      <c r="J40" s="15"/>
      <c r="K40" s="15"/>
      <c r="L40" s="15"/>
      <c r="M40" s="15"/>
      <c r="N40" s="15"/>
      <c r="O40" s="15"/>
      <c r="P40" s="15"/>
      <c r="Q40" s="15"/>
      <c r="R40" s="15"/>
      <c r="S40" s="15"/>
    </row>
    <row r="41" spans="1:19" ht="15.75">
      <c r="A41" s="15"/>
      <c r="B41" s="15"/>
      <c r="C41" s="15"/>
      <c r="D41" s="15"/>
      <c r="E41" s="15"/>
      <c r="F41" s="15"/>
      <c r="G41" s="15"/>
      <c r="H41" s="15"/>
      <c r="I41" s="15"/>
      <c r="J41" s="15"/>
      <c r="K41" s="15"/>
      <c r="L41" s="15"/>
      <c r="M41" s="15"/>
      <c r="N41" s="15"/>
      <c r="O41" s="15"/>
      <c r="P41" s="15"/>
      <c r="Q41" s="15"/>
      <c r="R41" s="15"/>
      <c r="S41" s="15"/>
    </row>
    <row r="42" spans="1:19" ht="15.75">
      <c r="A42" s="15"/>
      <c r="B42" s="15"/>
      <c r="C42" s="15"/>
      <c r="D42" s="15"/>
      <c r="E42" s="15"/>
      <c r="F42" s="15"/>
      <c r="G42" s="15"/>
      <c r="H42" s="15"/>
      <c r="I42" s="15"/>
      <c r="J42" s="15"/>
      <c r="K42" s="15"/>
      <c r="L42" s="15"/>
      <c r="M42" s="15"/>
      <c r="N42" s="15"/>
      <c r="O42" s="15"/>
      <c r="P42" s="15"/>
      <c r="Q42" s="15"/>
      <c r="R42" s="15"/>
      <c r="S42" s="15"/>
    </row>
    <row r="43" spans="1:19" ht="15.75">
      <c r="A43" s="15"/>
      <c r="B43" s="15"/>
      <c r="C43" s="15"/>
      <c r="D43" s="15"/>
      <c r="E43" s="15"/>
      <c r="F43" s="15"/>
      <c r="G43" s="15"/>
      <c r="H43" s="15"/>
      <c r="I43" s="15"/>
      <c r="J43" s="15"/>
      <c r="K43" s="15"/>
      <c r="L43" s="15"/>
      <c r="M43" s="15"/>
      <c r="N43" s="15"/>
      <c r="O43" s="15"/>
      <c r="P43" s="15"/>
      <c r="Q43" s="15"/>
      <c r="R43" s="15"/>
      <c r="S43" s="15"/>
    </row>
    <row r="44" spans="1:19" ht="15.75">
      <c r="A44" s="15"/>
      <c r="B44" s="15"/>
      <c r="C44" s="15"/>
      <c r="D44" s="15"/>
      <c r="E44" s="15"/>
      <c r="F44" s="15"/>
      <c r="G44" s="15"/>
      <c r="H44" s="15"/>
      <c r="I44" s="15"/>
      <c r="J44" s="15"/>
      <c r="K44" s="15"/>
      <c r="L44" s="15"/>
      <c r="M44" s="15"/>
      <c r="N44" s="15"/>
      <c r="O44" s="15"/>
      <c r="P44" s="15"/>
      <c r="Q44" s="15"/>
      <c r="R44" s="15"/>
      <c r="S44" s="15"/>
    </row>
    <row r="45" spans="1:19" ht="15.75">
      <c r="A45" s="15"/>
      <c r="B45" s="15"/>
      <c r="C45" s="15"/>
      <c r="D45" s="15"/>
      <c r="E45" s="15"/>
      <c r="F45" s="15"/>
      <c r="G45" s="15"/>
      <c r="H45" s="15"/>
      <c r="I45" s="15"/>
      <c r="J45" s="15"/>
      <c r="K45" s="15"/>
      <c r="L45" s="15"/>
      <c r="M45" s="15"/>
      <c r="N45" s="15"/>
      <c r="O45" s="15"/>
      <c r="P45" s="15"/>
      <c r="Q45" s="15"/>
      <c r="R45" s="15"/>
      <c r="S45" s="15"/>
    </row>
    <row r="46" spans="1:19" ht="15.75">
      <c r="A46" s="15"/>
      <c r="B46" s="15"/>
      <c r="C46" s="15"/>
      <c r="D46" s="15"/>
      <c r="E46" s="15"/>
      <c r="F46" s="15"/>
      <c r="G46" s="15"/>
      <c r="H46" s="15"/>
      <c r="I46" s="15"/>
      <c r="J46" s="15"/>
      <c r="K46" s="15"/>
      <c r="L46" s="15"/>
      <c r="M46" s="15"/>
      <c r="N46" s="15"/>
      <c r="O46" s="15"/>
      <c r="P46" s="15"/>
      <c r="Q46" s="15"/>
      <c r="R46" s="15"/>
      <c r="S46" s="15"/>
    </row>
    <row r="47" spans="1:19" ht="15.75">
      <c r="A47" s="15"/>
      <c r="B47" s="15"/>
      <c r="C47" s="15"/>
      <c r="D47" s="15"/>
      <c r="E47" s="15"/>
      <c r="F47" s="15"/>
      <c r="G47" s="15"/>
      <c r="H47" s="15"/>
      <c r="I47" s="15"/>
      <c r="J47" s="15"/>
      <c r="K47" s="15"/>
      <c r="L47" s="15"/>
      <c r="M47" s="15"/>
      <c r="N47" s="15"/>
      <c r="O47" s="15"/>
      <c r="P47" s="15"/>
      <c r="Q47" s="15"/>
      <c r="R47" s="15"/>
      <c r="S47" s="15"/>
    </row>
    <row r="48" spans="1:19" ht="15.75">
      <c r="A48" s="15"/>
      <c r="B48" s="15"/>
      <c r="C48" s="15"/>
      <c r="D48" s="15"/>
      <c r="E48" s="15"/>
      <c r="F48" s="15"/>
      <c r="G48" s="15"/>
      <c r="H48" s="15"/>
      <c r="I48" s="15"/>
      <c r="J48" s="15"/>
      <c r="K48" s="15"/>
      <c r="L48" s="15"/>
      <c r="M48" s="15"/>
      <c r="N48" s="15"/>
      <c r="O48" s="15"/>
      <c r="P48" s="15"/>
      <c r="Q48" s="15"/>
      <c r="R48" s="15"/>
      <c r="S48" s="15"/>
    </row>
    <row r="49" spans="1:19" ht="15.75">
      <c r="A49" s="15"/>
      <c r="B49" s="15"/>
      <c r="C49" s="15"/>
      <c r="D49" s="15"/>
      <c r="E49" s="15"/>
      <c r="F49" s="15"/>
      <c r="G49" s="15"/>
      <c r="H49" s="15"/>
      <c r="I49" s="15"/>
      <c r="J49" s="15"/>
      <c r="K49" s="15"/>
      <c r="L49" s="15"/>
      <c r="M49" s="15"/>
      <c r="N49" s="15"/>
      <c r="O49" s="15"/>
      <c r="P49" s="15"/>
      <c r="Q49" s="15"/>
      <c r="R49" s="15"/>
      <c r="S49" s="15"/>
    </row>
    <row r="50" spans="1:19" ht="15.75">
      <c r="A50" s="15"/>
      <c r="B50" s="15"/>
      <c r="C50" s="15"/>
      <c r="D50" s="15"/>
      <c r="E50" s="15"/>
      <c r="F50" s="15"/>
      <c r="G50" s="15"/>
      <c r="H50" s="15"/>
      <c r="I50" s="15"/>
      <c r="J50" s="15"/>
      <c r="K50" s="15"/>
      <c r="L50" s="15"/>
      <c r="M50" s="15"/>
      <c r="N50" s="15"/>
      <c r="O50" s="15"/>
      <c r="P50" s="15"/>
      <c r="Q50" s="15"/>
      <c r="R50" s="15"/>
      <c r="S50" s="15"/>
    </row>
    <row r="51" spans="1:19" ht="15.75">
      <c r="A51" s="15"/>
      <c r="B51" s="15"/>
      <c r="C51" s="15"/>
      <c r="D51" s="15"/>
      <c r="E51" s="15"/>
      <c r="F51" s="15"/>
      <c r="G51" s="15"/>
      <c r="H51" s="15"/>
      <c r="I51" s="15"/>
      <c r="J51" s="15"/>
      <c r="K51" s="15"/>
      <c r="L51" s="15"/>
      <c r="M51" s="15"/>
      <c r="N51" s="15"/>
      <c r="O51" s="15"/>
      <c r="P51" s="15"/>
      <c r="Q51" s="15"/>
      <c r="R51" s="15"/>
      <c r="S51" s="15"/>
    </row>
    <row r="52" spans="1:19" ht="15.75">
      <c r="A52" s="15"/>
      <c r="B52" s="15"/>
      <c r="C52" s="15"/>
      <c r="D52" s="15"/>
      <c r="E52" s="15"/>
      <c r="F52" s="15"/>
      <c r="G52" s="15"/>
      <c r="H52" s="15"/>
      <c r="I52" s="15"/>
      <c r="J52" s="15"/>
      <c r="K52" s="15"/>
      <c r="L52" s="15"/>
      <c r="M52" s="15"/>
      <c r="N52" s="15"/>
      <c r="O52" s="15"/>
      <c r="P52" s="15"/>
      <c r="Q52" s="15"/>
      <c r="R52" s="15"/>
      <c r="S52" s="15"/>
    </row>
    <row r="53" spans="1:19" ht="15.75">
      <c r="A53" s="15"/>
      <c r="B53" s="15"/>
      <c r="C53" s="15"/>
      <c r="D53" s="15"/>
      <c r="E53" s="15"/>
      <c r="F53" s="15"/>
      <c r="G53" s="15"/>
      <c r="H53" s="15"/>
      <c r="I53" s="15"/>
      <c r="J53" s="15"/>
      <c r="K53" s="15"/>
      <c r="L53" s="15"/>
      <c r="M53" s="15"/>
      <c r="N53" s="15"/>
      <c r="O53" s="15"/>
      <c r="P53" s="15"/>
      <c r="Q53" s="15"/>
      <c r="R53" s="15"/>
      <c r="S53" s="15"/>
    </row>
    <row r="54" spans="1:19" ht="15.75">
      <c r="A54" s="15"/>
      <c r="B54" s="15"/>
      <c r="C54" s="15"/>
      <c r="D54" s="15"/>
      <c r="E54" s="15"/>
      <c r="F54" s="15"/>
      <c r="G54" s="15"/>
      <c r="H54" s="15"/>
      <c r="I54" s="15"/>
      <c r="J54" s="15"/>
      <c r="K54" s="15"/>
      <c r="L54" s="15"/>
      <c r="M54" s="15"/>
      <c r="N54" s="15"/>
      <c r="O54" s="15"/>
      <c r="P54" s="15"/>
      <c r="Q54" s="15"/>
      <c r="R54" s="15"/>
      <c r="S54" s="15"/>
    </row>
    <row r="55" spans="1:19" ht="15.75">
      <c r="A55" s="15"/>
      <c r="B55" s="15"/>
      <c r="C55" s="15"/>
      <c r="D55" s="15"/>
      <c r="E55" s="15"/>
      <c r="F55" s="15"/>
      <c r="G55" s="15"/>
      <c r="H55" s="15"/>
      <c r="I55" s="15"/>
      <c r="J55" s="15"/>
      <c r="K55" s="15"/>
      <c r="L55" s="15"/>
      <c r="M55" s="15"/>
      <c r="N55" s="15"/>
      <c r="O55" s="15"/>
      <c r="P55" s="15"/>
      <c r="Q55" s="15"/>
      <c r="R55" s="15"/>
      <c r="S55" s="15"/>
    </row>
    <row r="56" spans="1:19" ht="15.75">
      <c r="A56" s="15"/>
      <c r="B56" s="15"/>
      <c r="C56" s="15"/>
      <c r="D56" s="15"/>
      <c r="E56" s="15"/>
      <c r="F56" s="15"/>
      <c r="G56" s="15"/>
      <c r="H56" s="15"/>
      <c r="I56" s="15"/>
      <c r="J56" s="15"/>
      <c r="K56" s="15"/>
      <c r="L56" s="15"/>
      <c r="M56" s="15"/>
      <c r="N56" s="15"/>
      <c r="O56" s="15"/>
      <c r="P56" s="15"/>
      <c r="Q56" s="15"/>
      <c r="R56" s="15"/>
      <c r="S56" s="15"/>
    </row>
    <row r="57" spans="1:19" ht="15.75">
      <c r="A57" s="15"/>
      <c r="B57" s="15"/>
      <c r="C57" s="15"/>
      <c r="D57" s="15"/>
      <c r="E57" s="15"/>
      <c r="F57" s="15"/>
      <c r="G57" s="15"/>
      <c r="H57" s="15"/>
      <c r="I57" s="15"/>
      <c r="J57" s="15"/>
      <c r="K57" s="15"/>
      <c r="L57" s="15"/>
      <c r="M57" s="15"/>
      <c r="N57" s="15"/>
      <c r="O57" s="15"/>
      <c r="P57" s="15"/>
      <c r="Q57" s="15"/>
      <c r="R57" s="15"/>
      <c r="S57" s="15"/>
    </row>
    <row r="58" spans="1:19" ht="15.75">
      <c r="A58" s="15"/>
      <c r="B58" s="15"/>
      <c r="C58" s="15"/>
      <c r="D58" s="15"/>
      <c r="E58" s="15"/>
      <c r="F58" s="15"/>
      <c r="G58" s="15"/>
      <c r="H58" s="15"/>
      <c r="I58" s="15"/>
      <c r="J58" s="15"/>
      <c r="K58" s="15"/>
      <c r="L58" s="15"/>
      <c r="M58" s="15"/>
      <c r="N58" s="15"/>
      <c r="O58" s="15"/>
      <c r="P58" s="15"/>
      <c r="Q58" s="15"/>
      <c r="R58" s="15"/>
      <c r="S58" s="15"/>
    </row>
    <row r="59" spans="1:19" ht="15.75">
      <c r="A59" s="15"/>
      <c r="B59" s="15"/>
      <c r="C59" s="15"/>
      <c r="D59" s="15"/>
      <c r="E59" s="15"/>
      <c r="F59" s="15"/>
      <c r="G59" s="15"/>
      <c r="H59" s="15"/>
      <c r="I59" s="15"/>
      <c r="J59" s="15"/>
      <c r="K59" s="15"/>
      <c r="L59" s="15"/>
      <c r="M59" s="15"/>
      <c r="N59" s="15"/>
      <c r="O59" s="15"/>
      <c r="P59" s="15"/>
      <c r="Q59" s="15"/>
      <c r="R59" s="15"/>
      <c r="S59" s="15"/>
    </row>
    <row r="60" spans="1:19" ht="15.75">
      <c r="A60" s="15"/>
      <c r="B60" s="15"/>
      <c r="C60" s="15"/>
      <c r="D60" s="15"/>
      <c r="E60" s="15"/>
      <c r="F60" s="15"/>
      <c r="G60" s="15"/>
      <c r="H60" s="15"/>
      <c r="I60" s="15"/>
      <c r="J60" s="15"/>
      <c r="K60" s="15"/>
      <c r="L60" s="15"/>
      <c r="M60" s="15"/>
      <c r="N60" s="15"/>
      <c r="O60" s="15"/>
      <c r="P60" s="15"/>
      <c r="Q60" s="15"/>
      <c r="R60" s="15"/>
      <c r="S60" s="15"/>
    </row>
    <row r="61" spans="1:19" ht="15.75">
      <c r="A61" s="15"/>
      <c r="B61" s="15"/>
      <c r="C61" s="15"/>
      <c r="D61" s="15"/>
      <c r="E61" s="15"/>
      <c r="F61" s="15"/>
      <c r="G61" s="15"/>
      <c r="H61" s="15"/>
      <c r="I61" s="15"/>
      <c r="J61" s="15"/>
      <c r="K61" s="15"/>
      <c r="L61" s="15"/>
      <c r="M61" s="15"/>
      <c r="N61" s="15"/>
      <c r="O61" s="15"/>
      <c r="P61" s="15"/>
      <c r="Q61" s="15"/>
      <c r="R61" s="15"/>
      <c r="S61" s="15"/>
    </row>
    <row r="62" spans="1:19" ht="15.75">
      <c r="A62" s="15"/>
      <c r="B62" s="15"/>
      <c r="C62" s="15"/>
      <c r="D62" s="15"/>
      <c r="E62" s="15"/>
      <c r="F62" s="15"/>
      <c r="G62" s="15"/>
      <c r="H62" s="15"/>
      <c r="I62" s="15"/>
      <c r="J62" s="15"/>
      <c r="K62" s="15"/>
      <c r="L62" s="15"/>
      <c r="M62" s="15"/>
      <c r="N62" s="15"/>
      <c r="O62" s="15"/>
      <c r="P62" s="15"/>
      <c r="Q62" s="15"/>
      <c r="R62" s="15"/>
      <c r="S62" s="15"/>
    </row>
    <row r="63" spans="1:19" ht="15.75">
      <c r="A63" s="15"/>
      <c r="B63" s="15"/>
      <c r="C63" s="15"/>
      <c r="D63" s="15"/>
      <c r="E63" s="15"/>
      <c r="F63" s="15"/>
      <c r="G63" s="15"/>
      <c r="H63" s="15"/>
      <c r="I63" s="15"/>
      <c r="J63" s="15"/>
      <c r="K63" s="15"/>
      <c r="L63" s="15"/>
      <c r="M63" s="15"/>
      <c r="N63" s="15"/>
      <c r="O63" s="15"/>
      <c r="P63" s="15"/>
      <c r="Q63" s="15"/>
      <c r="R63" s="15"/>
      <c r="S63" s="15"/>
    </row>
    <row r="64" spans="1:19" ht="15.75">
      <c r="A64" s="15"/>
      <c r="B64" s="15"/>
      <c r="C64" s="15"/>
      <c r="D64" s="15"/>
      <c r="E64" s="15"/>
      <c r="F64" s="15"/>
      <c r="G64" s="15"/>
      <c r="H64" s="15"/>
      <c r="I64" s="15"/>
      <c r="J64" s="15"/>
      <c r="K64" s="15"/>
      <c r="L64" s="15"/>
      <c r="M64" s="15"/>
      <c r="N64" s="15"/>
      <c r="O64" s="15"/>
      <c r="P64" s="15"/>
      <c r="Q64" s="15"/>
      <c r="R64" s="15"/>
      <c r="S64" s="15"/>
    </row>
    <row r="65" spans="1:19" ht="15.75">
      <c r="A65" s="15"/>
      <c r="B65" s="15"/>
      <c r="C65" s="15"/>
      <c r="D65" s="15"/>
      <c r="E65" s="15"/>
      <c r="F65" s="15"/>
      <c r="G65" s="15"/>
      <c r="H65" s="15"/>
      <c r="I65" s="15"/>
      <c r="J65" s="15"/>
      <c r="K65" s="15"/>
      <c r="L65" s="15"/>
      <c r="M65" s="15"/>
      <c r="N65" s="15"/>
      <c r="O65" s="15"/>
      <c r="P65" s="15"/>
      <c r="Q65" s="15"/>
      <c r="R65" s="15"/>
      <c r="S65" s="15"/>
    </row>
    <row r="66" spans="1:19" ht="15.75">
      <c r="A66" s="15"/>
      <c r="B66" s="15"/>
      <c r="C66" s="15"/>
      <c r="D66" s="15"/>
      <c r="E66" s="15"/>
      <c r="F66" s="15"/>
      <c r="G66" s="15"/>
      <c r="H66" s="15"/>
      <c r="I66" s="15"/>
      <c r="J66" s="15"/>
      <c r="K66" s="15"/>
      <c r="L66" s="15"/>
      <c r="M66" s="15"/>
      <c r="N66" s="15"/>
      <c r="O66" s="15"/>
      <c r="P66" s="15"/>
      <c r="Q66" s="15"/>
      <c r="R66" s="15"/>
      <c r="S66" s="15"/>
    </row>
    <row r="67" spans="1:19" ht="15.75">
      <c r="A67" s="15"/>
      <c r="B67" s="15"/>
      <c r="C67" s="15"/>
      <c r="D67" s="15"/>
      <c r="E67" s="15"/>
      <c r="F67" s="15"/>
      <c r="G67" s="15"/>
      <c r="H67" s="15"/>
      <c r="I67" s="15"/>
      <c r="J67" s="15"/>
      <c r="K67" s="15"/>
      <c r="L67" s="15"/>
      <c r="M67" s="15"/>
      <c r="N67" s="15"/>
      <c r="O67" s="15"/>
      <c r="P67" s="15"/>
      <c r="Q67" s="15"/>
      <c r="R67" s="15"/>
      <c r="S67" s="15"/>
    </row>
    <row r="68" spans="1:19" ht="15.75">
      <c r="A68" s="15"/>
      <c r="B68" s="15"/>
      <c r="C68" s="15"/>
      <c r="D68" s="15"/>
      <c r="E68" s="15"/>
      <c r="F68" s="15"/>
      <c r="G68" s="15"/>
      <c r="H68" s="15"/>
      <c r="I68" s="15"/>
      <c r="J68" s="15"/>
      <c r="K68" s="15"/>
      <c r="L68" s="15"/>
      <c r="M68" s="15"/>
      <c r="N68" s="15"/>
      <c r="O68" s="15"/>
      <c r="P68" s="15"/>
      <c r="Q68" s="15"/>
      <c r="R68" s="15"/>
      <c r="S68" s="15"/>
    </row>
    <row r="69" spans="1:19" ht="15.75">
      <c r="A69" s="15"/>
      <c r="B69" s="15"/>
      <c r="C69" s="15"/>
      <c r="D69" s="15"/>
      <c r="E69" s="15"/>
      <c r="F69" s="15"/>
      <c r="G69" s="15"/>
      <c r="H69" s="15"/>
      <c r="I69" s="15"/>
      <c r="J69" s="15"/>
      <c r="K69" s="15"/>
      <c r="L69" s="15"/>
      <c r="M69" s="15"/>
      <c r="N69" s="15"/>
      <c r="O69" s="15"/>
      <c r="P69" s="15"/>
      <c r="Q69" s="15"/>
      <c r="R69" s="15"/>
      <c r="S69" s="15"/>
    </row>
    <row r="70" spans="1:19" ht="15.75">
      <c r="A70" s="15"/>
      <c r="B70" s="15"/>
      <c r="C70" s="15"/>
      <c r="D70" s="15"/>
      <c r="E70" s="15"/>
      <c r="F70" s="15"/>
      <c r="G70" s="15"/>
      <c r="H70" s="15"/>
      <c r="I70" s="15"/>
      <c r="J70" s="15"/>
      <c r="K70" s="15"/>
      <c r="L70" s="15"/>
      <c r="M70" s="15"/>
      <c r="N70" s="15"/>
      <c r="O70" s="15"/>
      <c r="P70" s="15"/>
      <c r="Q70" s="15"/>
      <c r="R70" s="15"/>
      <c r="S70" s="15"/>
    </row>
  </sheetData>
  <printOptions horizontalCentered="1"/>
  <pageMargins left="0.5" right="0.5" top="0.75" bottom="0.75" header="0.5" footer="0.5"/>
  <pageSetup fitToHeight="1" fitToWidth="1" horizontalDpi="600" verticalDpi="600" orientation="landscape"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dc:creator>
  <cp:keywords/>
  <dc:description/>
  <cp:lastModifiedBy>Administrator</cp:lastModifiedBy>
  <cp:lastPrinted>2003-05-23T20:57:43Z</cp:lastPrinted>
  <dcterms:created xsi:type="dcterms:W3CDTF">2001-06-14T16:40:15Z</dcterms:created>
  <dcterms:modified xsi:type="dcterms:W3CDTF">2003-07-01T19:16:07Z</dcterms:modified>
  <cp:category/>
  <cp:version/>
  <cp:contentType/>
  <cp:contentStatus/>
</cp:coreProperties>
</file>