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75" yWindow="120" windowWidth="11175" windowHeight="10440" tabRatio="500"/>
  </bookViews>
  <sheets>
    <sheet name="NEW Figure 3-1" sheetId="4" r:id="rId1"/>
    <sheet name="NEW figure 3-2" sheetId="7" r:id="rId2"/>
    <sheet name="Figure 3-4" sheetId="5" r:id="rId3"/>
    <sheet name="Figure 3-5" sheetId="6" r:id="rId4"/>
  </sheets>
  <externalReferences>
    <externalReference r:id="rId5"/>
  </externalReferences>
  <definedNames>
    <definedName name="_xlnm.Print_Area" localSheetId="2">#REF!</definedName>
    <definedName name="_xlnm.Print_Area" localSheetId="3">#REF!</definedName>
    <definedName name="_xlnm.Print_Area">#REF!</definedName>
    <definedName name="print_area2" localSheetId="2">#REF!</definedName>
    <definedName name="print_area2" localSheetId="3">#REF!</definedName>
    <definedName name="print_area2">#REF!</definedName>
    <definedName name="print_area3" localSheetId="2">#REF!</definedName>
    <definedName name="print_area3" localSheetId="3">#REF!</definedName>
    <definedName name="print_area3">#REF!</definedName>
    <definedName name="print_area4">#REF!</definedName>
    <definedName name="_xlnm.Print_Titles">#N/A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7" l="1"/>
  <c r="D15" i="7"/>
  <c r="D24" i="7"/>
  <c r="D23" i="7"/>
  <c r="D25" i="7"/>
  <c r="D57" i="7"/>
  <c r="C15" i="7"/>
  <c r="C24" i="7"/>
  <c r="C23" i="7"/>
  <c r="C25" i="7"/>
  <c r="C57" i="7"/>
  <c r="B11" i="7"/>
  <c r="B24" i="7"/>
  <c r="B23" i="7"/>
  <c r="B25" i="7"/>
  <c r="B57" i="7"/>
  <c r="D31" i="7"/>
  <c r="D32" i="7"/>
  <c r="D36" i="7"/>
  <c r="D37" i="7"/>
  <c r="D42" i="7"/>
  <c r="D45" i="7"/>
  <c r="D46" i="7"/>
  <c r="D47" i="7"/>
  <c r="D48" i="7"/>
  <c r="D49" i="7"/>
  <c r="D52" i="7"/>
  <c r="D54" i="7"/>
  <c r="D55" i="7"/>
  <c r="C31" i="7"/>
  <c r="C32" i="7"/>
  <c r="C36" i="7"/>
  <c r="C37" i="7"/>
  <c r="C42" i="7"/>
  <c r="C45" i="7"/>
  <c r="C46" i="7"/>
  <c r="C47" i="7"/>
  <c r="C48" i="7"/>
  <c r="C49" i="7"/>
  <c r="C52" i="7"/>
  <c r="C54" i="7"/>
  <c r="C55" i="7"/>
  <c r="B31" i="7"/>
  <c r="B32" i="7"/>
  <c r="B36" i="7"/>
  <c r="B37" i="7"/>
  <c r="B42" i="7"/>
  <c r="B45" i="7"/>
  <c r="B46" i="7"/>
  <c r="B47" i="7"/>
  <c r="B48" i="7"/>
  <c r="B49" i="7"/>
  <c r="B52" i="7"/>
  <c r="B54" i="7"/>
  <c r="B55" i="7"/>
  <c r="D50" i="7"/>
  <c r="C50" i="7"/>
  <c r="B50" i="7"/>
  <c r="C11" i="7"/>
  <c r="B4" i="6"/>
  <c r="B5" i="6"/>
  <c r="B6" i="6"/>
  <c r="C6" i="6"/>
  <c r="F10" i="6"/>
  <c r="F11" i="6"/>
  <c r="F12" i="6"/>
  <c r="C14" i="6"/>
  <c r="F14" i="6"/>
  <c r="E17" i="6"/>
  <c r="F17" i="6"/>
  <c r="F19" i="6"/>
  <c r="F20" i="6"/>
  <c r="F24" i="6"/>
  <c r="F25" i="6"/>
  <c r="F26" i="6"/>
  <c r="F27" i="6"/>
  <c r="F28" i="6"/>
  <c r="F31" i="6"/>
  <c r="F32" i="6"/>
  <c r="F33" i="6"/>
  <c r="F36" i="6"/>
  <c r="F37" i="6"/>
  <c r="F38" i="6"/>
  <c r="F39" i="6"/>
  <c r="F40" i="6"/>
  <c r="F41" i="6"/>
  <c r="F42" i="6"/>
  <c r="F44" i="6"/>
  <c r="F46" i="6"/>
  <c r="F49" i="6"/>
  <c r="F50" i="6"/>
  <c r="F51" i="6"/>
  <c r="F52" i="6"/>
  <c r="B11" i="5"/>
  <c r="C11" i="5"/>
  <c r="D16" i="4"/>
  <c r="F16" i="4"/>
  <c r="D15" i="4"/>
  <c r="F15" i="4"/>
  <c r="D14" i="4"/>
  <c r="F14" i="4"/>
  <c r="D13" i="4"/>
  <c r="F13" i="4"/>
  <c r="D12" i="4"/>
  <c r="F12" i="4"/>
  <c r="D11" i="4"/>
  <c r="F11" i="4"/>
  <c r="D10" i="4"/>
  <c r="F10" i="4"/>
  <c r="D9" i="4"/>
  <c r="F9" i="4"/>
  <c r="D8" i="4"/>
  <c r="F8" i="4"/>
  <c r="D7" i="4"/>
  <c r="F7" i="4"/>
  <c r="D6" i="4"/>
  <c r="F6" i="4"/>
</calcChain>
</file>

<file path=xl/sharedStrings.xml><?xml version="1.0" encoding="utf-8"?>
<sst xmlns="http://schemas.openxmlformats.org/spreadsheetml/2006/main" count="156" uniqueCount="133">
  <si>
    <t>Project Value</t>
  </si>
  <si>
    <t>Parking</t>
  </si>
  <si>
    <t>Site Area (acres)</t>
  </si>
  <si>
    <t>Example 3</t>
  </si>
  <si>
    <t>Example 2</t>
  </si>
  <si>
    <t>Example 1</t>
  </si>
  <si>
    <t>Total Construction Costs</t>
  </si>
  <si>
    <t>Residential Units</t>
  </si>
  <si>
    <t>—</t>
  </si>
  <si>
    <t>Cap Rate</t>
  </si>
  <si>
    <t>Finance and Absorption</t>
  </si>
  <si>
    <t>Hurdle Rate (from figure 3-1)</t>
  </si>
  <si>
    <t>Maximum Supported Investment</t>
  </si>
  <si>
    <t>On-site Parking</t>
  </si>
  <si>
    <t>City Development Fees</t>
  </si>
  <si>
    <t>Figure 3-2</t>
  </si>
  <si>
    <t xml:space="preserve">Supported Investment and Residual Land Value Calculation, Three Development Scenarios </t>
  </si>
  <si>
    <t>Indirect Costs</t>
  </si>
  <si>
    <t>Site Development ($20/Sq. Ft.)</t>
  </si>
  <si>
    <t>Retail</t>
  </si>
  <si>
    <t>Cost ($/Sq. Ft.)</t>
  </si>
  <si>
    <t>Building Construction</t>
  </si>
  <si>
    <t xml:space="preserve">    Residential Development Fee ($/Unit)</t>
  </si>
  <si>
    <t xml:space="preserve">    Retail Development Fee ($/Sq. Ft.)</t>
  </si>
  <si>
    <t xml:space="preserve">   Residential Liability Insurance ($10,000/Unit)</t>
  </si>
  <si>
    <t xml:space="preserve">   Design and Engineering (5% of Construction Costs)</t>
  </si>
  <si>
    <t xml:space="preserve">   Real Estate Brokerage Fees (5% of Value)</t>
  </si>
  <si>
    <t xml:space="preserve">   Financing Fees and Taxes (2% of Construction Cost)</t>
  </si>
  <si>
    <t xml:space="preserve">   Contingency (10% of Construction)</t>
  </si>
  <si>
    <t>Sq. Ft.</t>
  </si>
  <si>
    <t>DEVELOPMENT PLAN</t>
  </si>
  <si>
    <t>Total Sales</t>
  </si>
  <si>
    <t>Net Operating Income (NOI)</t>
  </si>
  <si>
    <t>Total Parking</t>
  </si>
  <si>
    <t>COSTS</t>
  </si>
  <si>
    <t>Total City Development Fees</t>
  </si>
  <si>
    <t>Total Indirect Costs</t>
  </si>
  <si>
    <t>Subtotal</t>
  </si>
  <si>
    <t xml:space="preserve">Surface </t>
  </si>
  <si>
    <t xml:space="preserve">Structure </t>
  </si>
  <si>
    <t>Residential ($/Sq. Ft.)</t>
  </si>
  <si>
    <t>Retail ($/Sq. Ft.)</t>
  </si>
  <si>
    <t>Number of Surface Stalls</t>
  </si>
  <si>
    <t>Number of Structured Parking Stalls</t>
  </si>
  <si>
    <t>Net Rental Rate ($/Sq. Ft./Year) (NNN)</t>
  </si>
  <si>
    <t xml:space="preserve"> Value/Unit ($)</t>
  </si>
  <si>
    <t xml:space="preserve"> Sq. Ft./Unit</t>
  </si>
  <si>
    <t>Total Costs of Development Without Land</t>
  </si>
  <si>
    <t>65% at 6%, 24 months</t>
  </si>
  <si>
    <t>65% at 6%, 12 months</t>
  </si>
  <si>
    <r>
      <t xml:space="preserve">Residual Land Value </t>
    </r>
    <r>
      <rPr>
        <i/>
        <sz val="12"/>
        <rFont val="Times New Roman"/>
        <family val="1"/>
      </rPr>
      <t xml:space="preserve">(Maximum Supported investment less Total Cost of Development </t>
    </r>
    <r>
      <rPr>
        <b/>
        <i/>
        <sz val="12"/>
        <rFont val="Times New Roman"/>
        <family val="1"/>
      </rPr>
      <t>Without</t>
    </r>
    <r>
      <rPr>
        <i/>
        <sz val="12"/>
        <rFont val="Times New Roman"/>
        <family val="1"/>
      </rPr>
      <t xml:space="preserve"> Land)</t>
    </r>
  </si>
  <si>
    <r>
      <rPr>
        <b/>
        <sz val="12"/>
        <rFont val="Times New Roman"/>
        <family val="1"/>
      </rPr>
      <t xml:space="preserve">PROFIT </t>
    </r>
    <r>
      <rPr>
        <sz val="12"/>
        <rFont val="Times New Roman"/>
        <family val="1"/>
      </rPr>
      <t xml:space="preserve">(Maximum Supported Investment less Total Cost of Development </t>
    </r>
    <r>
      <rPr>
        <b/>
        <sz val="12"/>
        <rFont val="Times New Roman"/>
        <family val="1"/>
      </rPr>
      <t>including</t>
    </r>
    <r>
      <rPr>
        <sz val="12"/>
        <rFont val="Times New Roman"/>
        <family val="1"/>
      </rPr>
      <t xml:space="preserve"> land)</t>
    </r>
  </si>
  <si>
    <t>Figure 3-1</t>
  </si>
  <si>
    <t>Cash-on-Cash Hurdle Rates for Different Project Parameters</t>
  </si>
  <si>
    <t>Months to Achieve Project Value</t>
  </si>
  <si>
    <t>Debt</t>
  </si>
  <si>
    <t>Equity</t>
  </si>
  <si>
    <t>Hurdle Rate</t>
  </si>
  <si>
    <t>Share of Funding</t>
  </si>
  <si>
    <t>Interest</t>
  </si>
  <si>
    <t>Annual Return</t>
  </si>
  <si>
    <t>Note: Ranges are valid for project development values less than $100 million.</t>
  </si>
  <si>
    <t>Total Due Diligence Budget</t>
  </si>
  <si>
    <t>Preconstruction Cost Analysis</t>
  </si>
  <si>
    <t>Conceptual Architectural Design</t>
  </si>
  <si>
    <t>Community Support Assessment</t>
  </si>
  <si>
    <t>Market Analysis</t>
  </si>
  <si>
    <t>Environmental Investigation—Phase I</t>
  </si>
  <si>
    <t>Title Investigation and Survey</t>
  </si>
  <si>
    <t>High</t>
  </si>
  <si>
    <t>Low</t>
  </si>
  <si>
    <t>Item of Investigation</t>
  </si>
  <si>
    <t>Range of Cost</t>
  </si>
  <si>
    <t>Typical Due Diligence Budget Range</t>
  </si>
  <si>
    <t>Figure 3-4</t>
  </si>
  <si>
    <t>Cost Per Unit</t>
  </si>
  <si>
    <t>Cost Per Sq. Ft.</t>
  </si>
  <si>
    <t>Cost Per Acre</t>
  </si>
  <si>
    <r>
      <rPr>
        <b/>
        <sz val="10"/>
        <rFont val="Times New Roman"/>
        <family val="1"/>
      </rPr>
      <t>Residual Land Value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(Maximum Supported Investment less Total Project Costs Without Land)</t>
    </r>
  </si>
  <si>
    <t>RESIDUAL LAND VALUATION</t>
  </si>
  <si>
    <t>Maximum Supported Investment @ Hurdle Rate of</t>
  </si>
  <si>
    <t>Total Project Costs Without Land</t>
  </si>
  <si>
    <t>Total Soft Costs</t>
  </si>
  <si>
    <t>Construction and per unit</t>
  </si>
  <si>
    <t>Contingency</t>
  </si>
  <si>
    <t>Taxes</t>
  </si>
  <si>
    <t>Construction (60%) and per unit</t>
  </si>
  <si>
    <t>Finance (Based on Construction and Absorption Period)</t>
  </si>
  <si>
    <t>Construction only</t>
  </si>
  <si>
    <t>Construction Management</t>
  </si>
  <si>
    <t>Total project value</t>
  </si>
  <si>
    <t>Marketing</t>
  </si>
  <si>
    <t>Design</t>
  </si>
  <si>
    <t>Applied to:</t>
  </si>
  <si>
    <t>%</t>
  </si>
  <si>
    <t>Soft Costs</t>
  </si>
  <si>
    <t>Total Per Unit Costs</t>
  </si>
  <si>
    <t>Condominium Insurance</t>
  </si>
  <si>
    <t>Development Fees</t>
  </si>
  <si>
    <t>Per Unit Costs</t>
  </si>
  <si>
    <t>Site Development</t>
  </si>
  <si>
    <t>Commercial Building Costs</t>
  </si>
  <si>
    <t>Residential Building Costs</t>
  </si>
  <si>
    <t>Total Value</t>
  </si>
  <si>
    <t>Cost/Unit or Stall</t>
  </si>
  <si>
    <t>Cost/Sq. Ft.</t>
  </si>
  <si>
    <t>Units or Stalls</t>
  </si>
  <si>
    <t>Construction Costs</t>
  </si>
  <si>
    <t>PROJECT COSTS</t>
  </si>
  <si>
    <t>Total Project Value</t>
  </si>
  <si>
    <t>Total Commercial</t>
  </si>
  <si>
    <t>Ground Floor Retail</t>
  </si>
  <si>
    <t>NOI</t>
  </si>
  <si>
    <t>NNN</t>
  </si>
  <si>
    <t>Commercial</t>
  </si>
  <si>
    <t>Total Residential</t>
  </si>
  <si>
    <t>Halls and Lobbies</t>
  </si>
  <si>
    <t>Affordable Flats</t>
  </si>
  <si>
    <t>Market Rate #2 2BR/2.5 BA</t>
  </si>
  <si>
    <t>Market Rate #1 1BR/1.5 BA</t>
  </si>
  <si>
    <t>Total Price</t>
  </si>
  <si>
    <t>Units</t>
  </si>
  <si>
    <t>Residential</t>
  </si>
  <si>
    <t>DEVELOPMENT PLAN AND PROJECT VALUE</t>
  </si>
  <si>
    <t>Total</t>
  </si>
  <si>
    <t>Parcel 2</t>
  </si>
  <si>
    <t>Parcel 1</t>
  </si>
  <si>
    <t>Acres</t>
  </si>
  <si>
    <t>LAND AREA</t>
  </si>
  <si>
    <t>Simple Pro Forma for Determining Land Value</t>
  </si>
  <si>
    <t>Figure 3-5</t>
  </si>
  <si>
    <t>Corrections highlighted in yellow</t>
  </si>
  <si>
    <t>corrections highlighted in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</si>
</sst>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1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6">
    <xf numFmtId="0" fontId="0" fillId="0" borderId="0" xfId="0"/>
    <xf numFmtId="0" fontId="1" fillId="0" borderId="0" xfId="1"/>
    <xf numFmtId="0" fontId="1" fillId="0" borderId="0" xfId="1" applyFont="1"/>
    <xf numFmtId="0" fontId="2" fillId="0" borderId="6" xfId="1" applyFont="1" applyBorder="1" applyAlignment="1">
      <alignment wrapText="1"/>
    </xf>
    <xf numFmtId="0" fontId="2" fillId="0" borderId="0" xfId="1" applyFont="1" applyAlignment="1">
      <alignment wrapText="1"/>
    </xf>
    <xf numFmtId="0" fontId="6" fillId="0" borderId="0" xfId="1" applyFont="1" applyAlignment="1">
      <alignment wrapText="1"/>
    </xf>
    <xf numFmtId="0" fontId="6" fillId="0" borderId="0" xfId="1" applyFont="1"/>
    <xf numFmtId="0" fontId="3" fillId="0" borderId="0" xfId="1" applyFont="1" applyAlignment="1">
      <alignment wrapText="1"/>
    </xf>
    <xf numFmtId="0" fontId="8" fillId="0" borderId="0" xfId="1" applyFont="1"/>
    <xf numFmtId="6" fontId="1" fillId="0" borderId="0" xfId="1" applyNumberFormat="1"/>
    <xf numFmtId="0" fontId="3" fillId="0" borderId="1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right"/>
    </xf>
    <xf numFmtId="0" fontId="6" fillId="0" borderId="8" xfId="1" applyFont="1" applyFill="1" applyBorder="1"/>
    <xf numFmtId="0" fontId="6" fillId="0" borderId="2" xfId="1" applyFont="1" applyFill="1" applyBorder="1"/>
    <xf numFmtId="3" fontId="2" fillId="0" borderId="8" xfId="1" applyNumberFormat="1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6" fontId="2" fillId="0" borderId="7" xfId="1" applyNumberFormat="1" applyFont="1" applyFill="1" applyBorder="1" applyAlignment="1">
      <alignment horizontal="right"/>
    </xf>
    <xf numFmtId="6" fontId="2" fillId="0" borderId="10" xfId="1" applyNumberFormat="1" applyFont="1" applyFill="1" applyBorder="1" applyAlignment="1">
      <alignment horizontal="right"/>
    </xf>
    <xf numFmtId="8" fontId="2" fillId="0" borderId="7" xfId="1" applyNumberFormat="1" applyFont="1" applyFill="1" applyBorder="1" applyAlignment="1">
      <alignment horizontal="right"/>
    </xf>
    <xf numFmtId="8" fontId="2" fillId="0" borderId="10" xfId="1" applyNumberFormat="1" applyFont="1" applyFill="1" applyBorder="1" applyAlignment="1">
      <alignment horizontal="right"/>
    </xf>
    <xf numFmtId="0" fontId="7" fillId="0" borderId="10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2" fillId="0" borderId="10" xfId="1" applyFont="1" applyFill="1" applyBorder="1" applyAlignment="1">
      <alignment horizontal="right"/>
    </xf>
    <xf numFmtId="164" fontId="2" fillId="0" borderId="7" xfId="1" applyNumberFormat="1" applyFont="1" applyFill="1" applyBorder="1" applyAlignment="1">
      <alignment horizontal="right"/>
    </xf>
    <xf numFmtId="164" fontId="2" fillId="0" borderId="10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center"/>
    </xf>
    <xf numFmtId="6" fontId="2" fillId="0" borderId="8" xfId="1" applyNumberFormat="1" applyFont="1" applyFill="1" applyBorder="1" applyAlignment="1">
      <alignment horizontal="right"/>
    </xf>
    <xf numFmtId="6" fontId="2" fillId="0" borderId="2" xfId="1" applyNumberFormat="1" applyFont="1" applyFill="1" applyBorder="1" applyAlignment="1">
      <alignment horizontal="right"/>
    </xf>
    <xf numFmtId="6" fontId="5" fillId="0" borderId="2" xfId="1" applyNumberFormat="1" applyFont="1" applyFill="1" applyBorder="1" applyAlignment="1">
      <alignment horizontal="right"/>
    </xf>
    <xf numFmtId="6" fontId="5" fillId="0" borderId="8" xfId="1" applyNumberFormat="1" applyFont="1" applyFill="1" applyBorder="1" applyAlignment="1">
      <alignment horizontal="right"/>
    </xf>
    <xf numFmtId="0" fontId="2" fillId="0" borderId="3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0" fontId="2" fillId="0" borderId="0" xfId="1" applyFont="1" applyBorder="1" applyAlignment="1">
      <alignment wrapText="1"/>
    </xf>
    <xf numFmtId="0" fontId="7" fillId="0" borderId="8" xfId="1" applyFont="1" applyFill="1" applyBorder="1" applyAlignment="1">
      <alignment horizontal="right"/>
    </xf>
    <xf numFmtId="0" fontId="5" fillId="0" borderId="0" xfId="1" applyFont="1" applyBorder="1" applyAlignment="1">
      <alignment wrapText="1"/>
    </xf>
    <xf numFmtId="0" fontId="2" fillId="0" borderId="0" xfId="1" applyFont="1" applyFill="1" applyAlignment="1">
      <alignment wrapText="1"/>
    </xf>
    <xf numFmtId="0" fontId="3" fillId="0" borderId="6" xfId="1" applyFont="1" applyBorder="1" applyAlignment="1">
      <alignment wrapText="1"/>
    </xf>
    <xf numFmtId="6" fontId="3" fillId="0" borderId="7" xfId="1" applyNumberFormat="1" applyFont="1" applyFill="1" applyBorder="1" applyAlignment="1">
      <alignment horizontal="right"/>
    </xf>
    <xf numFmtId="6" fontId="3" fillId="0" borderId="10" xfId="1" applyNumberFormat="1" applyFont="1" applyFill="1" applyBorder="1" applyAlignment="1">
      <alignment horizontal="right"/>
    </xf>
    <xf numFmtId="0" fontId="11" fillId="0" borderId="7" xfId="1" applyFont="1" applyFill="1" applyBorder="1" applyAlignment="1">
      <alignment horizontal="right"/>
    </xf>
    <xf numFmtId="6" fontId="3" fillId="0" borderId="13" xfId="1" applyNumberFormat="1" applyFont="1" applyFill="1" applyBorder="1" applyAlignment="1">
      <alignment horizontal="right"/>
    </xf>
    <xf numFmtId="6" fontId="3" fillId="0" borderId="11" xfId="1" applyNumberFormat="1" applyFont="1" applyFill="1" applyBorder="1" applyAlignment="1">
      <alignment horizontal="right"/>
    </xf>
    <xf numFmtId="6" fontId="8" fillId="0" borderId="0" xfId="1" applyNumberFormat="1" applyFont="1"/>
    <xf numFmtId="0" fontId="3" fillId="0" borderId="12" xfId="1" applyFont="1" applyBorder="1" applyAlignment="1">
      <alignment wrapText="1"/>
    </xf>
    <xf numFmtId="0" fontId="3" fillId="0" borderId="6" xfId="1" applyFont="1" applyBorder="1" applyAlignment="1">
      <alignment horizontal="left" wrapText="1" indent="1"/>
    </xf>
    <xf numFmtId="0" fontId="3" fillId="0" borderId="0" xfId="1" applyFont="1" applyBorder="1" applyAlignment="1">
      <alignment horizontal="left" wrapText="1" indent="1"/>
    </xf>
    <xf numFmtId="0" fontId="3" fillId="0" borderId="8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3" fillId="0" borderId="11" xfId="1" applyFont="1" applyBorder="1" applyAlignment="1">
      <alignment horizontal="left" wrapText="1" indent="1"/>
    </xf>
    <xf numFmtId="0" fontId="2" fillId="0" borderId="0" xfId="1" applyFont="1" applyAlignment="1">
      <alignment horizontal="left" wrapText="1" indent="1"/>
    </xf>
    <xf numFmtId="0" fontId="2" fillId="0" borderId="6" xfId="1" applyFont="1" applyBorder="1" applyAlignment="1">
      <alignment horizontal="left" wrapText="1" indent="1"/>
    </xf>
    <xf numFmtId="0" fontId="2" fillId="0" borderId="0" xfId="1" applyFont="1" applyBorder="1" applyAlignment="1">
      <alignment horizontal="left" wrapText="1" indent="1"/>
    </xf>
    <xf numFmtId="164" fontId="2" fillId="0" borderId="2" xfId="1" applyNumberFormat="1" applyFont="1" applyFill="1" applyBorder="1" applyAlignment="1">
      <alignment horizontal="right"/>
    </xf>
    <xf numFmtId="0" fontId="7" fillId="0" borderId="2" xfId="1" applyFont="1" applyFill="1" applyBorder="1" applyAlignment="1">
      <alignment horizontal="right"/>
    </xf>
    <xf numFmtId="0" fontId="3" fillId="0" borderId="6" xfId="1" applyFont="1" applyBorder="1" applyAlignment="1">
      <alignment horizontal="left" wrapText="1"/>
    </xf>
    <xf numFmtId="0" fontId="2" fillId="0" borderId="7" xfId="1" applyFont="1" applyFill="1" applyBorder="1" applyAlignment="1">
      <alignment horizontal="right" wrapText="1"/>
    </xf>
    <xf numFmtId="0" fontId="2" fillId="0" borderId="10" xfId="1" applyFont="1" applyFill="1" applyBorder="1" applyAlignment="1">
      <alignment horizontal="right" wrapText="1"/>
    </xf>
    <xf numFmtId="6" fontId="5" fillId="0" borderId="14" xfId="1" applyNumberFormat="1" applyFont="1" applyFill="1" applyBorder="1" applyAlignment="1">
      <alignment horizontal="right"/>
    </xf>
    <xf numFmtId="0" fontId="2" fillId="0" borderId="4" xfId="1" applyFont="1" applyBorder="1" applyAlignment="1">
      <alignment wrapText="1"/>
    </xf>
    <xf numFmtId="0" fontId="2" fillId="0" borderId="8" xfId="1" applyFont="1" applyFill="1" applyBorder="1"/>
    <xf numFmtId="0" fontId="2" fillId="0" borderId="2" xfId="1" applyFont="1" applyFill="1" applyBorder="1"/>
    <xf numFmtId="0" fontId="5" fillId="0" borderId="15" xfId="1" applyFont="1" applyBorder="1" applyAlignment="1">
      <alignment wrapText="1"/>
    </xf>
    <xf numFmtId="0" fontId="2" fillId="0" borderId="16" xfId="1" applyFont="1" applyBorder="1" applyAlignment="1">
      <alignment wrapText="1"/>
    </xf>
    <xf numFmtId="8" fontId="2" fillId="0" borderId="17" xfId="1" applyNumberFormat="1" applyFont="1" applyFill="1" applyBorder="1" applyAlignment="1">
      <alignment horizontal="right"/>
    </xf>
    <xf numFmtId="0" fontId="2" fillId="0" borderId="23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top" wrapText="1"/>
    </xf>
    <xf numFmtId="9" fontId="2" fillId="0" borderId="23" xfId="1" applyNumberFormat="1" applyFont="1" applyBorder="1" applyAlignment="1">
      <alignment horizontal="center" vertical="top" wrapText="1"/>
    </xf>
    <xf numFmtId="10" fontId="2" fillId="0" borderId="23" xfId="1" applyNumberFormat="1" applyFont="1" applyBorder="1" applyAlignment="1">
      <alignment horizontal="right" vertical="top" wrapText="1"/>
    </xf>
    <xf numFmtId="9" fontId="2" fillId="0" borderId="23" xfId="1" applyNumberFormat="1" applyFont="1" applyBorder="1" applyAlignment="1">
      <alignment horizontal="right" vertical="top" wrapText="1"/>
    </xf>
    <xf numFmtId="164" fontId="2" fillId="0" borderId="1" xfId="2" applyNumberFormat="1" applyFont="1" applyBorder="1" applyAlignment="1">
      <alignment horizontal="center"/>
    </xf>
    <xf numFmtId="9" fontId="1" fillId="0" borderId="0" xfId="1" applyNumberFormat="1"/>
    <xf numFmtId="0" fontId="2" fillId="0" borderId="0" xfId="7"/>
    <xf numFmtId="0" fontId="13" fillId="0" borderId="0" xfId="1" applyFont="1"/>
    <xf numFmtId="6" fontId="3" fillId="0" borderId="22" xfId="1" applyNumberFormat="1" applyFont="1" applyBorder="1" applyAlignment="1">
      <alignment horizontal="right"/>
    </xf>
    <xf numFmtId="0" fontId="3" fillId="0" borderId="24" xfId="1" applyFont="1" applyBorder="1" applyAlignment="1">
      <alignment wrapText="1"/>
    </xf>
    <xf numFmtId="6" fontId="2" fillId="0" borderId="25" xfId="1" applyNumberFormat="1" applyFont="1" applyBorder="1" applyAlignment="1">
      <alignment horizontal="right"/>
    </xf>
    <xf numFmtId="6" fontId="2" fillId="0" borderId="25" xfId="1" applyNumberFormat="1" applyFont="1" applyBorder="1" applyAlignment="1">
      <alignment horizontal="right" wrapText="1"/>
    </xf>
    <xf numFmtId="0" fontId="2" fillId="0" borderId="26" xfId="1" applyFont="1" applyBorder="1" applyAlignment="1">
      <alignment horizontal="left" wrapText="1" indent="1"/>
    </xf>
    <xf numFmtId="6" fontId="2" fillId="0" borderId="27" xfId="1" applyNumberFormat="1" applyFont="1" applyBorder="1" applyAlignment="1">
      <alignment horizontal="right"/>
    </xf>
    <xf numFmtId="6" fontId="2" fillId="0" borderId="27" xfId="1" applyNumberFormat="1" applyFont="1" applyBorder="1" applyAlignment="1">
      <alignment horizontal="right" wrapText="1"/>
    </xf>
    <xf numFmtId="0" fontId="2" fillId="0" borderId="28" xfId="1" applyFont="1" applyBorder="1" applyAlignment="1">
      <alignment horizontal="left" wrapText="1" indent="1"/>
    </xf>
    <xf numFmtId="0" fontId="3" fillId="0" borderId="29" xfId="1" applyFont="1" applyBorder="1" applyAlignment="1">
      <alignment horizontal="center" wrapText="1"/>
    </xf>
    <xf numFmtId="0" fontId="3" fillId="0" borderId="29" xfId="7" applyFont="1" applyBorder="1" applyAlignment="1">
      <alignment horizontal="center"/>
    </xf>
    <xf numFmtId="0" fontId="3" fillId="0" borderId="28" xfId="1" applyFont="1" applyBorder="1" applyAlignment="1">
      <alignment wrapText="1"/>
    </xf>
    <xf numFmtId="0" fontId="1" fillId="0" borderId="32" xfId="1" applyBorder="1"/>
    <xf numFmtId="6" fontId="14" fillId="0" borderId="23" xfId="1" applyNumberFormat="1" applyFont="1" applyBorder="1" applyAlignment="1">
      <alignment horizontal="right"/>
    </xf>
    <xf numFmtId="0" fontId="15" fillId="0" borderId="23" xfId="1" applyFont="1" applyBorder="1"/>
    <xf numFmtId="8" fontId="14" fillId="0" borderId="23" xfId="1" applyNumberFormat="1" applyFont="1" applyBorder="1" applyAlignment="1">
      <alignment horizontal="right"/>
    </xf>
    <xf numFmtId="0" fontId="15" fillId="0" borderId="23" xfId="1" applyFont="1" applyBorder="1" applyAlignment="1">
      <alignment vertical="top"/>
    </xf>
    <xf numFmtId="0" fontId="1" fillId="0" borderId="0" xfId="1" applyFont="1" applyFill="1"/>
    <xf numFmtId="6" fontId="14" fillId="0" borderId="1" xfId="1" applyNumberFormat="1" applyFont="1" applyFill="1" applyBorder="1" applyAlignment="1">
      <alignment horizontal="right"/>
    </xf>
    <xf numFmtId="0" fontId="14" fillId="0" borderId="34" xfId="1" applyFont="1" applyFill="1" applyBorder="1"/>
    <xf numFmtId="9" fontId="14" fillId="0" borderId="34" xfId="1" applyNumberFormat="1" applyFont="1" applyFill="1" applyBorder="1" applyAlignment="1">
      <alignment horizontal="center"/>
    </xf>
    <xf numFmtId="0" fontId="1" fillId="0" borderId="34" xfId="1" applyFont="1" applyFill="1" applyBorder="1"/>
    <xf numFmtId="0" fontId="14" fillId="0" borderId="34" xfId="1" applyFont="1" applyFill="1" applyBorder="1" applyAlignment="1">
      <alignment horizontal="center"/>
    </xf>
    <xf numFmtId="0" fontId="14" fillId="0" borderId="4" xfId="1" applyFont="1" applyFill="1" applyBorder="1"/>
    <xf numFmtId="6" fontId="14" fillId="0" borderId="23" xfId="1" applyNumberFormat="1" applyFont="1" applyFill="1" applyBorder="1" applyAlignment="1">
      <alignment horizontal="right"/>
    </xf>
    <xf numFmtId="0" fontId="14" fillId="0" borderId="23" xfId="1" applyFont="1" applyFill="1" applyBorder="1"/>
    <xf numFmtId="0" fontId="14" fillId="0" borderId="23" xfId="1" applyFont="1" applyBorder="1"/>
    <xf numFmtId="6" fontId="15" fillId="0" borderId="10" xfId="1" applyNumberFormat="1" applyFont="1" applyBorder="1" applyAlignment="1">
      <alignment horizontal="right"/>
    </xf>
    <xf numFmtId="164" fontId="15" fillId="0" borderId="38" xfId="1" applyNumberFormat="1" applyFont="1" applyBorder="1" applyAlignment="1">
      <alignment horizontal="right"/>
    </xf>
    <xf numFmtId="0" fontId="15" fillId="0" borderId="38" xfId="1" applyFont="1" applyBorder="1"/>
    <xf numFmtId="6" fontId="15" fillId="0" borderId="1" xfId="1" applyNumberFormat="1" applyFont="1" applyBorder="1" applyAlignment="1">
      <alignment horizontal="right"/>
    </xf>
    <xf numFmtId="164" fontId="15" fillId="0" borderId="2" xfId="1" applyNumberFormat="1" applyFont="1" applyBorder="1" applyAlignment="1">
      <alignment horizontal="right"/>
    </xf>
    <xf numFmtId="0" fontId="15" fillId="0" borderId="2" xfId="1" applyFont="1" applyBorder="1" applyAlignment="1">
      <alignment wrapText="1"/>
    </xf>
    <xf numFmtId="164" fontId="15" fillId="0" borderId="23" xfId="1" applyNumberFormat="1" applyFont="1" applyBorder="1" applyAlignment="1">
      <alignment horizontal="right"/>
    </xf>
    <xf numFmtId="0" fontId="15" fillId="0" borderId="23" xfId="1" applyFont="1" applyBorder="1" applyAlignment="1">
      <alignment wrapText="1"/>
    </xf>
    <xf numFmtId="6" fontId="15" fillId="0" borderId="23" xfId="1" applyNumberFormat="1" applyFont="1" applyBorder="1" applyAlignment="1">
      <alignment horizontal="right"/>
    </xf>
    <xf numFmtId="0" fontId="14" fillId="0" borderId="23" xfId="1" applyFont="1" applyBorder="1" applyAlignment="1">
      <alignment horizontal="center"/>
    </xf>
    <xf numFmtId="6" fontId="15" fillId="0" borderId="39" xfId="1" applyNumberFormat="1" applyFont="1" applyBorder="1" applyAlignment="1">
      <alignment horizontal="right"/>
    </xf>
    <xf numFmtId="0" fontId="1" fillId="0" borderId="39" xfId="1" applyBorder="1"/>
    <xf numFmtId="0" fontId="15" fillId="0" borderId="10" xfId="1" applyFont="1" applyFill="1" applyBorder="1"/>
    <xf numFmtId="0" fontId="15" fillId="0" borderId="10" xfId="1" applyFont="1" applyBorder="1" applyAlignment="1">
      <alignment horizontal="right"/>
    </xf>
    <xf numFmtId="0" fontId="15" fillId="0" borderId="10" xfId="1" applyFont="1" applyBorder="1"/>
    <xf numFmtId="0" fontId="1" fillId="0" borderId="1" xfId="1" applyBorder="1"/>
    <xf numFmtId="0" fontId="15" fillId="0" borderId="23" xfId="1" applyFont="1" applyFill="1" applyBorder="1"/>
    <xf numFmtId="0" fontId="15" fillId="0" borderId="23" xfId="1" applyFont="1" applyBorder="1" applyAlignment="1">
      <alignment horizontal="right"/>
    </xf>
    <xf numFmtId="0" fontId="14" fillId="0" borderId="23" xfId="1" applyFont="1" applyBorder="1" applyAlignment="1">
      <alignment horizontal="left"/>
    </xf>
    <xf numFmtId="0" fontId="14" fillId="0" borderId="1" xfId="1" applyFont="1" applyBorder="1" applyAlignment="1">
      <alignment horizontal="left"/>
    </xf>
    <xf numFmtId="6" fontId="15" fillId="0" borderId="38" xfId="1" applyNumberFormat="1" applyFont="1" applyBorder="1" applyAlignment="1">
      <alignment horizontal="right"/>
    </xf>
    <xf numFmtId="0" fontId="15" fillId="0" borderId="39" xfId="1" applyFont="1" applyFill="1" applyBorder="1"/>
    <xf numFmtId="0" fontId="15" fillId="0" borderId="10" xfId="1" applyFont="1" applyBorder="1" applyAlignment="1">
      <alignment horizontal="center"/>
    </xf>
    <xf numFmtId="0" fontId="15" fillId="0" borderId="3" xfId="1" applyFont="1" applyFill="1" applyBorder="1"/>
    <xf numFmtId="3" fontId="15" fillId="0" borderId="3" xfId="1" applyNumberFormat="1" applyFont="1" applyBorder="1" applyAlignment="1">
      <alignment horizontal="right"/>
    </xf>
    <xf numFmtId="0" fontId="15" fillId="0" borderId="3" xfId="1" applyFont="1" applyBorder="1"/>
    <xf numFmtId="0" fontId="15" fillId="0" borderId="2" xfId="1" applyFont="1" applyFill="1" applyBorder="1"/>
    <xf numFmtId="3" fontId="15" fillId="0" borderId="2" xfId="1" applyNumberFormat="1" applyFont="1" applyBorder="1" applyAlignment="1">
      <alignment horizontal="right"/>
    </xf>
    <xf numFmtId="0" fontId="15" fillId="0" borderId="2" xfId="1" applyFont="1" applyBorder="1"/>
    <xf numFmtId="0" fontId="1" fillId="0" borderId="0" xfId="1" applyBorder="1"/>
    <xf numFmtId="3" fontId="15" fillId="0" borderId="23" xfId="1" applyNumberFormat="1" applyFont="1" applyBorder="1" applyAlignment="1">
      <alignment horizontal="right"/>
    </xf>
    <xf numFmtId="0" fontId="14" fillId="0" borderId="0" xfId="1" applyFont="1" applyBorder="1" applyAlignment="1">
      <alignment horizontal="left"/>
    </xf>
    <xf numFmtId="0" fontId="16" fillId="0" borderId="23" xfId="1" applyFont="1" applyBorder="1" applyAlignment="1">
      <alignment horizontal="center"/>
    </xf>
    <xf numFmtId="0" fontId="16" fillId="0" borderId="23" xfId="1" applyFont="1" applyBorder="1" applyAlignment="1">
      <alignment horizontal="center" wrapText="1"/>
    </xf>
    <xf numFmtId="0" fontId="14" fillId="0" borderId="23" xfId="1" applyFont="1" applyBorder="1" applyAlignment="1">
      <alignment horizontal="center" wrapText="1"/>
    </xf>
    <xf numFmtId="0" fontId="16" fillId="0" borderId="23" xfId="1" applyFont="1" applyBorder="1"/>
    <xf numFmtId="6" fontId="14" fillId="0" borderId="9" xfId="1" applyNumberFormat="1" applyFont="1" applyFill="1" applyBorder="1" applyAlignment="1">
      <alignment horizontal="right"/>
    </xf>
    <xf numFmtId="0" fontId="14" fillId="0" borderId="1" xfId="1" applyFont="1" applyFill="1" applyBorder="1"/>
    <xf numFmtId="3" fontId="14" fillId="0" borderId="1" xfId="1" applyNumberFormat="1" applyFont="1" applyFill="1" applyBorder="1" applyAlignment="1">
      <alignment horizontal="right"/>
    </xf>
    <xf numFmtId="6" fontId="16" fillId="0" borderId="23" xfId="1" applyNumberFormat="1" applyFont="1" applyBorder="1" applyAlignment="1">
      <alignment horizontal="right"/>
    </xf>
    <xf numFmtId="3" fontId="16" fillId="0" borderId="23" xfId="1" applyNumberFormat="1" applyFont="1" applyBorder="1" applyAlignment="1">
      <alignment horizontal="right"/>
    </xf>
    <xf numFmtId="0" fontId="15" fillId="0" borderId="38" xfId="1" applyFont="1" applyBorder="1" applyAlignment="1">
      <alignment horizontal="left"/>
    </xf>
    <xf numFmtId="3" fontId="15" fillId="0" borderId="22" xfId="1" applyNumberFormat="1" applyFont="1" applyBorder="1" applyAlignment="1">
      <alignment horizontal="right"/>
    </xf>
    <xf numFmtId="0" fontId="15" fillId="0" borderId="22" xfId="1" applyFont="1" applyFill="1" applyBorder="1"/>
    <xf numFmtId="0" fontId="14" fillId="0" borderId="22" xfId="1" applyFont="1" applyBorder="1" applyAlignment="1">
      <alignment horizontal="center"/>
    </xf>
    <xf numFmtId="0" fontId="15" fillId="0" borderId="1" xfId="1" applyFont="1" applyFill="1" applyBorder="1"/>
    <xf numFmtId="6" fontId="16" fillId="0" borderId="23" xfId="1" applyNumberFormat="1" applyFont="1" applyBorder="1" applyAlignment="1">
      <alignment horizontal="center"/>
    </xf>
    <xf numFmtId="3" fontId="16" fillId="0" borderId="23" xfId="1" applyNumberFormat="1" applyFont="1" applyBorder="1" applyAlignment="1">
      <alignment horizontal="center"/>
    </xf>
    <xf numFmtId="0" fontId="16" fillId="0" borderId="0" xfId="1" applyFont="1" applyBorder="1" applyAlignment="1">
      <alignment horizontal="right"/>
    </xf>
    <xf numFmtId="9" fontId="15" fillId="0" borderId="10" xfId="1" applyNumberFormat="1" applyFont="1" applyBorder="1" applyAlignment="1">
      <alignment horizontal="right"/>
    </xf>
    <xf numFmtId="0" fontId="15" fillId="0" borderId="10" xfId="1" applyFont="1" applyFill="1" applyBorder="1" applyAlignment="1">
      <alignment horizontal="center"/>
    </xf>
    <xf numFmtId="6" fontId="15" fillId="0" borderId="9" xfId="1" applyNumberFormat="1" applyFont="1" applyBorder="1" applyAlignment="1">
      <alignment horizontal="right"/>
    </xf>
    <xf numFmtId="3" fontId="15" fillId="0" borderId="9" xfId="1" applyNumberFormat="1" applyFont="1" applyBorder="1" applyAlignment="1">
      <alignment horizontal="right"/>
    </xf>
    <xf numFmtId="0" fontId="15" fillId="0" borderId="9" xfId="1" applyFont="1" applyBorder="1" applyAlignment="1">
      <alignment horizontal="center"/>
    </xf>
    <xf numFmtId="0" fontId="15" fillId="0" borderId="9" xfId="1" applyFont="1" applyBorder="1"/>
    <xf numFmtId="0" fontId="15" fillId="0" borderId="23" xfId="1" applyFont="1" applyBorder="1" applyAlignment="1">
      <alignment horizontal="center"/>
    </xf>
    <xf numFmtId="3" fontId="14" fillId="0" borderId="23" xfId="1" applyNumberFormat="1" applyFont="1" applyFill="1" applyBorder="1"/>
    <xf numFmtId="2" fontId="14" fillId="0" borderId="23" xfId="1" applyNumberFormat="1" applyFont="1" applyFill="1" applyBorder="1" applyAlignment="1">
      <alignment horizontal="right" indent="1"/>
    </xf>
    <xf numFmtId="3" fontId="15" fillId="0" borderId="10" xfId="1" applyNumberFormat="1" applyFont="1" applyBorder="1"/>
    <xf numFmtId="2" fontId="15" fillId="0" borderId="39" xfId="1" applyNumberFormat="1" applyFont="1" applyBorder="1"/>
    <xf numFmtId="3" fontId="15" fillId="0" borderId="23" xfId="1" applyNumberFormat="1" applyFont="1" applyBorder="1"/>
    <xf numFmtId="2" fontId="15" fillId="0" borderId="23" xfId="1" applyNumberFormat="1" applyFont="1" applyBorder="1"/>
    <xf numFmtId="0" fontId="14" fillId="0" borderId="9" xfId="1" applyFont="1" applyFill="1" applyBorder="1" applyAlignment="1">
      <alignment horizontal="left"/>
    </xf>
    <xf numFmtId="0" fontId="14" fillId="0" borderId="9" xfId="1" applyFont="1" applyFill="1" applyBorder="1"/>
    <xf numFmtId="0" fontId="17" fillId="0" borderId="0" xfId="1" applyFont="1"/>
    <xf numFmtId="0" fontId="17" fillId="0" borderId="0" xfId="1" applyFont="1" applyFill="1"/>
    <xf numFmtId="8" fontId="2" fillId="2" borderId="17" xfId="1" applyNumberFormat="1" applyFont="1" applyFill="1" applyBorder="1" applyAlignment="1">
      <alignment horizontal="right"/>
    </xf>
    <xf numFmtId="164" fontId="2" fillId="2" borderId="1" xfId="2" applyNumberFormat="1" applyFont="1" applyFill="1" applyBorder="1" applyAlignment="1">
      <alignment horizontal="center"/>
    </xf>
    <xf numFmtId="10" fontId="2" fillId="2" borderId="23" xfId="1" applyNumberFormat="1" applyFont="1" applyFill="1" applyBorder="1" applyAlignment="1">
      <alignment horizontal="right" vertical="top" wrapText="1"/>
    </xf>
    <xf numFmtId="0" fontId="1" fillId="2" borderId="0" xfId="1" applyFill="1"/>
    <xf numFmtId="0" fontId="2" fillId="0" borderId="0" xfId="1" applyFont="1" applyAlignment="1">
      <alignment horizontal="left" wrapText="1"/>
    </xf>
    <xf numFmtId="0" fontId="18" fillId="2" borderId="0" xfId="1" applyFont="1" applyFill="1" applyAlignment="1">
      <alignment wrapText="1"/>
    </xf>
    <xf numFmtId="0" fontId="3" fillId="0" borderId="13" xfId="1" applyFont="1" applyFill="1" applyBorder="1" applyAlignment="1">
      <alignment horizontal="right"/>
    </xf>
    <xf numFmtId="0" fontId="3" fillId="0" borderId="10" xfId="1" applyFont="1" applyFill="1" applyBorder="1" applyAlignment="1">
      <alignment horizontal="right"/>
    </xf>
    <xf numFmtId="6" fontId="3" fillId="0" borderId="5" xfId="1" applyNumberFormat="1" applyFont="1" applyFill="1" applyBorder="1" applyAlignment="1">
      <alignment horizontal="right"/>
    </xf>
    <xf numFmtId="6" fontId="3" fillId="0" borderId="3" xfId="1" applyNumberFormat="1" applyFont="1" applyFill="1" applyBorder="1" applyAlignment="1">
      <alignment horizontal="right"/>
    </xf>
    <xf numFmtId="8" fontId="2" fillId="0" borderId="18" xfId="1" applyNumberFormat="1" applyFont="1" applyFill="1" applyBorder="1" applyAlignment="1">
      <alignment horizontal="right"/>
    </xf>
    <xf numFmtId="6" fontId="3" fillId="0" borderId="9" xfId="1" applyNumberFormat="1" applyFont="1" applyFill="1" applyBorder="1" applyAlignment="1">
      <alignment horizontal="right"/>
    </xf>
    <xf numFmtId="6" fontId="3" fillId="2" borderId="1" xfId="1" applyNumberFormat="1" applyFont="1" applyFill="1" applyBorder="1" applyAlignment="1">
      <alignment horizontal="right"/>
    </xf>
    <xf numFmtId="0" fontId="2" fillId="0" borderId="0" xfId="1" applyFont="1" applyAlignment="1">
      <alignment horizontal="left"/>
    </xf>
    <xf numFmtId="0" fontId="2" fillId="0" borderId="19" xfId="1" applyFont="1" applyBorder="1" applyAlignment="1">
      <alignment horizontal="left" wrapText="1"/>
    </xf>
    <xf numFmtId="0" fontId="2" fillId="0" borderId="5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20" xfId="1" applyFont="1" applyBorder="1" applyAlignment="1">
      <alignment horizontal="center" vertical="top" wrapText="1"/>
    </xf>
    <xf numFmtId="0" fontId="2" fillId="0" borderId="21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3" fillId="0" borderId="31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2" fillId="0" borderId="0" xfId="7" applyFont="1" applyAlignment="1">
      <alignment horizontal="left"/>
    </xf>
    <xf numFmtId="0" fontId="2" fillId="0" borderId="33" xfId="1" applyFont="1" applyBorder="1" applyAlignment="1">
      <alignment horizontal="left"/>
    </xf>
    <xf numFmtId="0" fontId="15" fillId="0" borderId="4" xfId="1" applyFont="1" applyBorder="1" applyAlignment="1">
      <alignment wrapText="1"/>
    </xf>
    <xf numFmtId="0" fontId="15" fillId="0" borderId="34" xfId="1" applyFont="1" applyBorder="1" applyAlignment="1">
      <alignment wrapText="1"/>
    </xf>
    <xf numFmtId="0" fontId="15" fillId="0" borderId="20" xfId="1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15" fillId="0" borderId="34" xfId="1" applyFont="1" applyBorder="1" applyAlignment="1">
      <alignment horizontal="left" wrapText="1"/>
    </xf>
    <xf numFmtId="0" fontId="15" fillId="0" borderId="9" xfId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4" fillId="0" borderId="34" xfId="1" applyFont="1" applyFill="1" applyBorder="1" applyAlignment="1">
      <alignment horizontal="left"/>
    </xf>
    <xf numFmtId="0" fontId="14" fillId="0" borderId="9" xfId="1" applyFont="1" applyFill="1" applyBorder="1" applyAlignment="1">
      <alignment horizontal="left"/>
    </xf>
    <xf numFmtId="0" fontId="14" fillId="0" borderId="4" xfId="1" applyFont="1" applyBorder="1" applyAlignment="1">
      <alignment horizontal="left"/>
    </xf>
    <xf numFmtId="0" fontId="14" fillId="0" borderId="34" xfId="1" applyFont="1" applyBorder="1" applyAlignment="1">
      <alignment horizontal="left"/>
    </xf>
    <xf numFmtId="0" fontId="14" fillId="0" borderId="9" xfId="1" applyFont="1" applyBorder="1" applyAlignment="1">
      <alignment horizontal="left"/>
    </xf>
    <xf numFmtId="0" fontId="15" fillId="0" borderId="37" xfId="1" applyFont="1" applyBorder="1" applyAlignment="1">
      <alignment wrapText="1"/>
    </xf>
    <xf numFmtId="0" fontId="15" fillId="0" borderId="36" xfId="1" applyFont="1" applyBorder="1" applyAlignment="1">
      <alignment wrapText="1"/>
    </xf>
    <xf numFmtId="0" fontId="15" fillId="0" borderId="35" xfId="1" applyFont="1" applyBorder="1" applyAlignment="1">
      <alignment wrapText="1"/>
    </xf>
    <xf numFmtId="0" fontId="15" fillId="0" borderId="4" xfId="1" applyFont="1" applyBorder="1" applyAlignment="1">
      <alignment horizontal="left"/>
    </xf>
    <xf numFmtId="0" fontId="15" fillId="0" borderId="34" xfId="1" applyFont="1" applyBorder="1" applyAlignment="1">
      <alignment horizontal="left"/>
    </xf>
    <xf numFmtId="0" fontId="15" fillId="0" borderId="20" xfId="1" applyFont="1" applyBorder="1" applyAlignment="1">
      <alignment horizontal="left"/>
    </xf>
    <xf numFmtId="0" fontId="15" fillId="0" borderId="4" xfId="1" applyFont="1" applyBorder="1"/>
    <xf numFmtId="0" fontId="15" fillId="0" borderId="34" xfId="1" applyFont="1" applyBorder="1"/>
    <xf numFmtId="0" fontId="15" fillId="0" borderId="20" xfId="1" applyFont="1" applyBorder="1"/>
  </cellXfs>
  <cellStyles count="15">
    <cellStyle name="Comma 2" xfId="3"/>
    <cellStyle name="Comma 3" xfId="4"/>
    <cellStyle name="Comma 4" xfId="5"/>
    <cellStyle name="Currency 2" xfId="6"/>
    <cellStyle name="Followed Hyperlink" xfId="12" builtinId="9" hidden="1"/>
    <cellStyle name="Followed Hyperlink" xfId="14" builtinId="9" hidden="1"/>
    <cellStyle name="Hyperlink" xfId="11" builtinId="8" hidden="1"/>
    <cellStyle name="Hyperlink" xfId="13" builtinId="8" hidden="1"/>
    <cellStyle name="Normal" xfId="0" builtinId="0"/>
    <cellStyle name="Normal 2" xfId="1"/>
    <cellStyle name="Normal 2 2" xfId="7"/>
    <cellStyle name="Normal 3" xfId="8"/>
    <cellStyle name="Percent 2" xfId="2"/>
    <cellStyle name="Percent 3" xfId="9"/>
    <cellStyle name="Percent 4" xf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3%20new%20fig%203-2%2002-18-11%20from%20C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ig 3-2"/>
      <sheetName val="Figure 3-1"/>
    </sheetNames>
    <sheetDataSet>
      <sheetData sheetId="0" refreshError="1"/>
      <sheetData sheetId="1">
        <row r="9">
          <cell r="F9">
            <v>0.229881</v>
          </cell>
        </row>
        <row r="15">
          <cell r="F15">
            <v>0.10899999999999999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6" sqref="A6"/>
    </sheetView>
  </sheetViews>
  <sheetFormatPr defaultColWidth="8.875" defaultRowHeight="12.75" x14ac:dyDescent="0.2"/>
  <cols>
    <col min="1" max="5" width="8.875" style="1"/>
    <col min="6" max="6" width="10.625" style="1" customWidth="1"/>
    <col min="7" max="16384" width="8.875" style="1"/>
  </cols>
  <sheetData>
    <row r="1" spans="1:7" ht="21.75" customHeight="1" x14ac:dyDescent="0.2">
      <c r="A1" s="170" t="s">
        <v>131</v>
      </c>
      <c r="B1" s="170"/>
      <c r="C1" s="170"/>
    </row>
    <row r="2" spans="1:7" ht="21.6" customHeight="1" x14ac:dyDescent="0.25">
      <c r="A2" s="180" t="s">
        <v>52</v>
      </c>
      <c r="B2" s="180"/>
      <c r="C2" s="180"/>
      <c r="D2" s="180"/>
      <c r="E2" s="180"/>
      <c r="F2" s="180"/>
    </row>
    <row r="3" spans="1:7" ht="23.1" customHeight="1" thickBot="1" x14ac:dyDescent="0.3">
      <c r="A3" s="181" t="s">
        <v>53</v>
      </c>
      <c r="B3" s="181"/>
      <c r="C3" s="181"/>
      <c r="D3" s="181"/>
      <c r="E3" s="181"/>
      <c r="F3" s="181"/>
    </row>
    <row r="4" spans="1:7" ht="46.35" customHeight="1" thickBot="1" x14ac:dyDescent="0.25">
      <c r="A4" s="182" t="s">
        <v>54</v>
      </c>
      <c r="B4" s="184" t="s">
        <v>55</v>
      </c>
      <c r="C4" s="185"/>
      <c r="D4" s="186" t="s">
        <v>56</v>
      </c>
      <c r="E4" s="185"/>
      <c r="F4" s="187" t="s">
        <v>57</v>
      </c>
    </row>
    <row r="5" spans="1:7" ht="32.25" thickBot="1" x14ac:dyDescent="0.25">
      <c r="A5" s="183"/>
      <c r="B5" s="66" t="s">
        <v>58</v>
      </c>
      <c r="C5" s="66" t="s">
        <v>59</v>
      </c>
      <c r="D5" s="66" t="s">
        <v>58</v>
      </c>
      <c r="E5" s="66" t="s">
        <v>60</v>
      </c>
      <c r="F5" s="188"/>
    </row>
    <row r="6" spans="1:7" ht="16.5" thickBot="1" x14ac:dyDescent="0.3">
      <c r="A6" s="67">
        <v>36</v>
      </c>
      <c r="B6" s="68">
        <v>0.6</v>
      </c>
      <c r="C6" s="69">
        <v>0.06</v>
      </c>
      <c r="D6" s="70">
        <f>1-B6</f>
        <v>0.4</v>
      </c>
      <c r="E6" s="68">
        <v>0.2</v>
      </c>
      <c r="F6" s="71">
        <f>POWER((1+(B6*C6+D6*E6)),A6/12)-1</f>
        <v>0.38992889600000047</v>
      </c>
      <c r="G6" s="72"/>
    </row>
    <row r="7" spans="1:7" ht="16.5" thickBot="1" x14ac:dyDescent="0.3">
      <c r="A7" s="67">
        <v>36</v>
      </c>
      <c r="B7" s="68">
        <v>0.65</v>
      </c>
      <c r="C7" s="69">
        <v>0.06</v>
      </c>
      <c r="D7" s="70">
        <f t="shared" ref="D7:D16" si="0">1-B7</f>
        <v>0.35</v>
      </c>
      <c r="E7" s="68">
        <v>0.2</v>
      </c>
      <c r="F7" s="71">
        <f t="shared" ref="F7:F16" si="1">POWER((1+(B7*C7+D7*E7)),A7/12)-1</f>
        <v>0.36393802900000005</v>
      </c>
      <c r="G7" s="72"/>
    </row>
    <row r="8" spans="1:7" ht="16.5" thickBot="1" x14ac:dyDescent="0.3">
      <c r="A8" s="67">
        <v>36</v>
      </c>
      <c r="B8" s="68">
        <v>0.75</v>
      </c>
      <c r="C8" s="69">
        <v>7.0000000000000007E-2</v>
      </c>
      <c r="D8" s="70">
        <f t="shared" si="0"/>
        <v>0.25</v>
      </c>
      <c r="E8" s="68">
        <v>0.2</v>
      </c>
      <c r="F8" s="71">
        <f t="shared" si="1"/>
        <v>0.34009564062499997</v>
      </c>
      <c r="G8" s="72"/>
    </row>
    <row r="9" spans="1:7" ht="16.5" thickBot="1" x14ac:dyDescent="0.3">
      <c r="A9" s="67">
        <v>24</v>
      </c>
      <c r="B9" s="68">
        <v>0.6</v>
      </c>
      <c r="C9" s="69">
        <v>0.06</v>
      </c>
      <c r="D9" s="70">
        <f t="shared" si="0"/>
        <v>0.4</v>
      </c>
      <c r="E9" s="68">
        <v>0.2</v>
      </c>
      <c r="F9" s="71">
        <f t="shared" si="1"/>
        <v>0.24545600000000034</v>
      </c>
      <c r="G9" s="72"/>
    </row>
    <row r="10" spans="1:7" ht="16.5" thickBot="1" x14ac:dyDescent="0.3">
      <c r="A10" s="67">
        <v>24</v>
      </c>
      <c r="B10" s="68">
        <v>0.65</v>
      </c>
      <c r="C10" s="69">
        <v>0.06</v>
      </c>
      <c r="D10" s="70">
        <f t="shared" si="0"/>
        <v>0.35</v>
      </c>
      <c r="E10" s="68">
        <v>0.2</v>
      </c>
      <c r="F10" s="71">
        <f t="shared" si="1"/>
        <v>0.229881</v>
      </c>
      <c r="G10" s="72"/>
    </row>
    <row r="11" spans="1:7" ht="16.5" thickBot="1" x14ac:dyDescent="0.3">
      <c r="A11" s="67">
        <v>24</v>
      </c>
      <c r="B11" s="68">
        <v>0.75</v>
      </c>
      <c r="C11" s="69">
        <v>7.0000000000000007E-2</v>
      </c>
      <c r="D11" s="70">
        <f t="shared" si="0"/>
        <v>0.25</v>
      </c>
      <c r="E11" s="68">
        <v>0.2</v>
      </c>
      <c r="F11" s="71">
        <f t="shared" si="1"/>
        <v>0.21550625000000001</v>
      </c>
      <c r="G11" s="72"/>
    </row>
    <row r="12" spans="1:7" ht="16.5" thickBot="1" x14ac:dyDescent="0.3">
      <c r="A12" s="67">
        <v>18</v>
      </c>
      <c r="B12" s="68">
        <v>0.6</v>
      </c>
      <c r="C12" s="69">
        <v>0.06</v>
      </c>
      <c r="D12" s="70">
        <f t="shared" si="0"/>
        <v>0.4</v>
      </c>
      <c r="E12" s="68">
        <v>0.2</v>
      </c>
      <c r="F12" s="71">
        <f t="shared" si="1"/>
        <v>0.17895245705668739</v>
      </c>
      <c r="G12" s="72"/>
    </row>
    <row r="13" spans="1:7" ht="16.5" thickBot="1" x14ac:dyDescent="0.3">
      <c r="A13" s="67">
        <v>18</v>
      </c>
      <c r="B13" s="68">
        <v>0.65</v>
      </c>
      <c r="C13" s="69">
        <v>0.06</v>
      </c>
      <c r="D13" s="70">
        <f t="shared" si="0"/>
        <v>0.35</v>
      </c>
      <c r="E13" s="68">
        <v>0.2</v>
      </c>
      <c r="F13" s="71">
        <f t="shared" si="1"/>
        <v>0.16787757449143603</v>
      </c>
      <c r="G13" s="72"/>
    </row>
    <row r="14" spans="1:7" ht="16.5" thickBot="1" x14ac:dyDescent="0.3">
      <c r="A14" s="67">
        <v>18</v>
      </c>
      <c r="B14" s="68">
        <v>0.75</v>
      </c>
      <c r="C14" s="69">
        <v>7.0000000000000007E-2</v>
      </c>
      <c r="D14" s="70">
        <f t="shared" si="0"/>
        <v>0.25</v>
      </c>
      <c r="E14" s="68">
        <v>0.2</v>
      </c>
      <c r="F14" s="71">
        <f t="shared" si="1"/>
        <v>0.15762500000000013</v>
      </c>
      <c r="G14" s="72"/>
    </row>
    <row r="15" spans="1:7" ht="16.5" thickBot="1" x14ac:dyDescent="0.3">
      <c r="A15" s="67">
        <v>12</v>
      </c>
      <c r="B15" s="68">
        <v>0.65</v>
      </c>
      <c r="C15" s="169">
        <v>0.06</v>
      </c>
      <c r="D15" s="70">
        <f t="shared" si="0"/>
        <v>0.35</v>
      </c>
      <c r="E15" s="68">
        <v>0.2</v>
      </c>
      <c r="F15" s="168">
        <f t="shared" si="1"/>
        <v>0.10899999999999999</v>
      </c>
      <c r="G15" s="72"/>
    </row>
    <row r="16" spans="1:7" ht="16.5" thickBot="1" x14ac:dyDescent="0.3">
      <c r="A16" s="67">
        <v>12</v>
      </c>
      <c r="B16" s="68">
        <v>0.75</v>
      </c>
      <c r="C16" s="69">
        <v>7.0000000000000007E-2</v>
      </c>
      <c r="D16" s="70">
        <f t="shared" si="0"/>
        <v>0.25</v>
      </c>
      <c r="E16" s="68">
        <v>0.2</v>
      </c>
      <c r="F16" s="71">
        <f t="shared" si="1"/>
        <v>0.10250000000000004</v>
      </c>
      <c r="G16" s="72"/>
    </row>
    <row r="20" spans="6:6" x14ac:dyDescent="0.2">
      <c r="F20" s="2"/>
    </row>
  </sheetData>
  <mergeCells count="6">
    <mergeCell ref="A2:F2"/>
    <mergeCell ref="A3:F3"/>
    <mergeCell ref="A4:A5"/>
    <mergeCell ref="B4:C4"/>
    <mergeCell ref="D4:E4"/>
    <mergeCell ref="F4:F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="75" zoomScaleNormal="75" workbookViewId="0">
      <selection activeCell="B12" sqref="B12"/>
    </sheetView>
  </sheetViews>
  <sheetFormatPr defaultRowHeight="15.75" x14ac:dyDescent="0.25"/>
  <cols>
    <col min="1" max="1" width="35.375" customWidth="1"/>
    <col min="2" max="2" width="17.375" customWidth="1"/>
    <col min="3" max="3" width="17.625" customWidth="1"/>
    <col min="4" max="4" width="20.625" customWidth="1"/>
  </cols>
  <sheetData>
    <row r="1" spans="1:5" ht="40.5" customHeight="1" x14ac:dyDescent="0.25">
      <c r="A1" s="172" t="s">
        <v>132</v>
      </c>
      <c r="B1" s="1"/>
      <c r="C1" s="1"/>
      <c r="D1" s="1"/>
      <c r="E1" s="2"/>
    </row>
    <row r="2" spans="1:5" x14ac:dyDescent="0.25">
      <c r="A2" s="189" t="s">
        <v>15</v>
      </c>
      <c r="B2" s="189"/>
      <c r="C2" s="189"/>
      <c r="D2" s="189"/>
      <c r="E2" s="2"/>
    </row>
    <row r="3" spans="1:5" ht="15.75" customHeight="1" thickBot="1" x14ac:dyDescent="0.3">
      <c r="A3" s="190" t="s">
        <v>16</v>
      </c>
      <c r="B3" s="190"/>
      <c r="C3" s="190"/>
      <c r="D3" s="190"/>
      <c r="E3" s="1"/>
    </row>
    <row r="4" spans="1:5" ht="15.75" customHeight="1" thickBot="1" x14ac:dyDescent="0.3">
      <c r="A4" s="5"/>
      <c r="B4" s="10" t="s">
        <v>5</v>
      </c>
      <c r="C4" s="11" t="s">
        <v>4</v>
      </c>
      <c r="D4" s="11" t="s">
        <v>3</v>
      </c>
      <c r="E4" s="1"/>
    </row>
    <row r="5" spans="1:5" ht="15.75" customHeight="1" x14ac:dyDescent="0.25">
      <c r="A5" s="7" t="s">
        <v>2</v>
      </c>
      <c r="B5" s="12">
        <v>1</v>
      </c>
      <c r="C5" s="32">
        <v>4.5</v>
      </c>
      <c r="D5" s="13">
        <v>0.56999999999999995</v>
      </c>
      <c r="E5" s="1"/>
    </row>
    <row r="6" spans="1:5" ht="15.75" customHeight="1" x14ac:dyDescent="0.25">
      <c r="A6" s="7"/>
      <c r="B6" s="12"/>
      <c r="C6" s="13"/>
      <c r="D6" s="13"/>
      <c r="E6" s="1"/>
    </row>
    <row r="7" spans="1:5" ht="15.75" customHeight="1" x14ac:dyDescent="0.25">
      <c r="A7" s="7" t="s">
        <v>30</v>
      </c>
      <c r="B7" s="14"/>
      <c r="C7" s="15"/>
      <c r="D7" s="15"/>
      <c r="E7" s="1"/>
    </row>
    <row r="8" spans="1:5" ht="15.75" customHeight="1" x14ac:dyDescent="0.25">
      <c r="A8" s="4" t="s">
        <v>7</v>
      </c>
      <c r="B8" s="12">
        <v>25</v>
      </c>
      <c r="C8" s="29">
        <v>0</v>
      </c>
      <c r="D8" s="13">
        <v>50</v>
      </c>
      <c r="E8" s="1"/>
    </row>
    <row r="9" spans="1:5" ht="15.75" customHeight="1" x14ac:dyDescent="0.25">
      <c r="A9" s="51" t="s">
        <v>46</v>
      </c>
      <c r="B9" s="16">
        <v>1600</v>
      </c>
      <c r="C9" s="28">
        <v>0</v>
      </c>
      <c r="D9" s="17">
        <v>1000</v>
      </c>
      <c r="E9" s="1"/>
    </row>
    <row r="10" spans="1:5" ht="15.75" customHeight="1" thickBot="1" x14ac:dyDescent="0.3">
      <c r="A10" s="52" t="s">
        <v>45</v>
      </c>
      <c r="B10" s="18">
        <v>480000</v>
      </c>
      <c r="C10" s="19">
        <v>0</v>
      </c>
      <c r="D10" s="19">
        <v>350000</v>
      </c>
      <c r="E10" s="8"/>
    </row>
    <row r="11" spans="1:5" ht="15.75" customHeight="1" thickTop="1" thickBot="1" x14ac:dyDescent="0.3">
      <c r="A11" s="56" t="s">
        <v>31</v>
      </c>
      <c r="B11" s="39">
        <f t="shared" ref="B11:C11" si="0">B8*B10</f>
        <v>12000000</v>
      </c>
      <c r="C11" s="40">
        <f t="shared" si="0"/>
        <v>0</v>
      </c>
      <c r="D11" s="40">
        <f>D8*D10</f>
        <v>17500000</v>
      </c>
      <c r="E11" s="1"/>
    </row>
    <row r="12" spans="1:5" ht="15.75" customHeight="1" thickTop="1" x14ac:dyDescent="0.25">
      <c r="A12" s="34" t="s">
        <v>19</v>
      </c>
      <c r="B12" s="28"/>
      <c r="C12" s="29"/>
      <c r="D12" s="29"/>
      <c r="E12" s="1"/>
    </row>
    <row r="13" spans="1:5" ht="19.5" customHeight="1" x14ac:dyDescent="0.25">
      <c r="A13" s="51" t="s">
        <v>29</v>
      </c>
      <c r="B13" s="35" t="s">
        <v>8</v>
      </c>
      <c r="C13" s="17">
        <v>50000</v>
      </c>
      <c r="D13" s="17">
        <v>10000</v>
      </c>
      <c r="E13" s="1"/>
    </row>
    <row r="14" spans="1:5" ht="18" customHeight="1" thickBot="1" x14ac:dyDescent="0.3">
      <c r="A14" s="52" t="s">
        <v>44</v>
      </c>
      <c r="B14" s="23" t="s">
        <v>8</v>
      </c>
      <c r="C14" s="19">
        <v>30</v>
      </c>
      <c r="D14" s="19">
        <v>35</v>
      </c>
      <c r="E14" s="8"/>
    </row>
    <row r="15" spans="1:5" ht="18.75" customHeight="1" thickTop="1" thickBot="1" x14ac:dyDescent="0.3">
      <c r="A15" s="56" t="s">
        <v>32</v>
      </c>
      <c r="B15" s="41" t="s">
        <v>8</v>
      </c>
      <c r="C15" s="40">
        <f>C13*C14</f>
        <v>1500000</v>
      </c>
      <c r="D15" s="40">
        <f>D13*D14</f>
        <v>350000</v>
      </c>
      <c r="E15" s="1"/>
    </row>
    <row r="16" spans="1:5" ht="15.75" customHeight="1" thickTop="1" x14ac:dyDescent="0.25">
      <c r="A16" s="4" t="s">
        <v>1</v>
      </c>
      <c r="B16" s="14"/>
      <c r="C16" s="15"/>
      <c r="D16" s="15"/>
      <c r="E16" s="1"/>
    </row>
    <row r="17" spans="1:5" ht="18.75" customHeight="1" x14ac:dyDescent="0.25">
      <c r="A17" s="51" t="s">
        <v>42</v>
      </c>
      <c r="B17" s="12">
        <v>25</v>
      </c>
      <c r="C17" s="13">
        <v>150</v>
      </c>
      <c r="D17" s="35">
        <v>0</v>
      </c>
      <c r="E17" s="1"/>
    </row>
    <row r="18" spans="1:5" ht="15.75" customHeight="1" thickBot="1" x14ac:dyDescent="0.3">
      <c r="A18" s="52" t="s">
        <v>43</v>
      </c>
      <c r="B18" s="23">
        <v>0</v>
      </c>
      <c r="C18" s="22">
        <v>0</v>
      </c>
      <c r="D18" s="24">
        <v>130</v>
      </c>
      <c r="E18" s="8"/>
    </row>
    <row r="19" spans="1:5" ht="15.75" customHeight="1" thickTop="1" thickBot="1" x14ac:dyDescent="0.3">
      <c r="A19" s="46" t="s">
        <v>33</v>
      </c>
      <c r="B19" s="173">
        <v>25</v>
      </c>
      <c r="C19" s="174">
        <v>150</v>
      </c>
      <c r="D19" s="174">
        <v>130</v>
      </c>
      <c r="E19" s="8"/>
    </row>
    <row r="20" spans="1:5" ht="15.75" customHeight="1" thickTop="1" x14ac:dyDescent="0.25">
      <c r="A20" s="47"/>
      <c r="B20" s="48"/>
      <c r="C20" s="49"/>
      <c r="D20" s="49"/>
      <c r="E20" s="1"/>
    </row>
    <row r="21" spans="1:5" ht="15.75" customHeight="1" x14ac:dyDescent="0.25">
      <c r="A21" s="4" t="s">
        <v>9</v>
      </c>
      <c r="B21" s="35" t="s">
        <v>8</v>
      </c>
      <c r="C21" s="54">
        <v>0.06</v>
      </c>
      <c r="D21" s="54">
        <v>7.0000000000000007E-2</v>
      </c>
      <c r="E21" s="1"/>
    </row>
    <row r="22" spans="1:5" ht="31.5" customHeight="1" thickBot="1" x14ac:dyDescent="0.3">
      <c r="A22" s="3" t="s">
        <v>10</v>
      </c>
      <c r="B22" s="57" t="s">
        <v>49</v>
      </c>
      <c r="C22" s="58" t="s">
        <v>48</v>
      </c>
      <c r="D22" s="58" t="s">
        <v>48</v>
      </c>
      <c r="E22" s="1"/>
    </row>
    <row r="23" spans="1:5" ht="15.75" customHeight="1" thickTop="1" thickBot="1" x14ac:dyDescent="0.3">
      <c r="A23" s="3" t="s">
        <v>11</v>
      </c>
      <c r="B23" s="25">
        <f>'[1]Figure 3-1'!F15</f>
        <v>0.10899999999999999</v>
      </c>
      <c r="C23" s="26">
        <f>'[1]Figure 3-1'!F9</f>
        <v>0.229881</v>
      </c>
      <c r="D23" s="26">
        <f>'[1]Figure 3-1'!F9</f>
        <v>0.229881</v>
      </c>
      <c r="E23" s="2"/>
    </row>
    <row r="24" spans="1:5" ht="15.75" customHeight="1" thickTop="1" thickBot="1" x14ac:dyDescent="0.3">
      <c r="A24" s="45" t="s">
        <v>0</v>
      </c>
      <c r="B24" s="42">
        <f>B11</f>
        <v>12000000</v>
      </c>
      <c r="C24" s="43">
        <f>(C15/C21)</f>
        <v>25000000</v>
      </c>
      <c r="D24" s="43">
        <f>D11+(D15/D21)</f>
        <v>22500000</v>
      </c>
      <c r="E24" s="2"/>
    </row>
    <row r="25" spans="1:5" ht="15.75" customHeight="1" thickTop="1" thickBot="1" x14ac:dyDescent="0.3">
      <c r="A25" s="45" t="s">
        <v>12</v>
      </c>
      <c r="B25" s="42">
        <f t="shared" ref="B25:C25" si="1">ROUND(B24/(1+B23),-2)</f>
        <v>10820600</v>
      </c>
      <c r="C25" s="43">
        <f t="shared" si="1"/>
        <v>20327200</v>
      </c>
      <c r="D25" s="43">
        <f>ROUND(D24/(1+D23),-2)</f>
        <v>18294500</v>
      </c>
      <c r="E25" s="1"/>
    </row>
    <row r="26" spans="1:5" ht="15.75" customHeight="1" thickTop="1" x14ac:dyDescent="0.25">
      <c r="A26" s="36"/>
      <c r="B26" s="31"/>
      <c r="C26" s="30"/>
      <c r="D26" s="59"/>
      <c r="E26" s="6"/>
    </row>
    <row r="27" spans="1:5" ht="15.75" customHeight="1" x14ac:dyDescent="0.25">
      <c r="A27" s="7" t="s">
        <v>34</v>
      </c>
      <c r="B27" s="27"/>
      <c r="C27" s="33"/>
      <c r="D27" s="27"/>
      <c r="E27" s="1"/>
    </row>
    <row r="28" spans="1:5" ht="15.75" customHeight="1" x14ac:dyDescent="0.25">
      <c r="A28" s="171" t="s">
        <v>21</v>
      </c>
      <c r="B28" s="14"/>
      <c r="C28" s="15"/>
      <c r="D28" s="15"/>
      <c r="E28" s="1"/>
    </row>
    <row r="29" spans="1:5" ht="15.75" customHeight="1" x14ac:dyDescent="0.25">
      <c r="A29" s="51" t="s">
        <v>40</v>
      </c>
      <c r="B29" s="28">
        <v>120</v>
      </c>
      <c r="C29" s="35" t="s">
        <v>8</v>
      </c>
      <c r="D29" s="29">
        <v>120</v>
      </c>
      <c r="E29" s="1"/>
    </row>
    <row r="30" spans="1:5" ht="15.75" customHeight="1" thickBot="1" x14ac:dyDescent="0.3">
      <c r="A30" s="53" t="s">
        <v>41</v>
      </c>
      <c r="B30" s="35" t="s">
        <v>8</v>
      </c>
      <c r="C30" s="29">
        <v>110</v>
      </c>
      <c r="D30" s="29">
        <v>110</v>
      </c>
      <c r="E30" s="8"/>
    </row>
    <row r="31" spans="1:5" ht="21" customHeight="1" thickTop="1" thickBot="1" x14ac:dyDescent="0.3">
      <c r="A31" s="50" t="s">
        <v>37</v>
      </c>
      <c r="B31" s="42">
        <f>B8*B9*B29</f>
        <v>4800000</v>
      </c>
      <c r="C31" s="43">
        <f>C13*C30</f>
        <v>5500000</v>
      </c>
      <c r="D31" s="43">
        <f>D8*D9*D29+D13*D30</f>
        <v>7100000</v>
      </c>
      <c r="E31" s="1"/>
    </row>
    <row r="32" spans="1:5" ht="15.75" customHeight="1" thickTop="1" x14ac:dyDescent="0.25">
      <c r="A32" s="37" t="s">
        <v>18</v>
      </c>
      <c r="B32" s="28">
        <f>ROUND((B5*43560*20),-2)</f>
        <v>871200</v>
      </c>
      <c r="C32" s="29">
        <f>ROUND((C5*43560*20),-2)</f>
        <v>3920400</v>
      </c>
      <c r="D32" s="29">
        <f>ROUND((D5*43560*20),-2)</f>
        <v>496600</v>
      </c>
      <c r="E32" s="1"/>
    </row>
    <row r="33" spans="1:5" ht="15.75" customHeight="1" x14ac:dyDescent="0.25">
      <c r="A33" s="4" t="s">
        <v>13</v>
      </c>
      <c r="B33" s="14"/>
      <c r="C33" s="15"/>
      <c r="D33" s="15"/>
      <c r="E33" s="9"/>
    </row>
    <row r="34" spans="1:5" ht="15.75" customHeight="1" x14ac:dyDescent="0.25">
      <c r="A34" s="51" t="s">
        <v>38</v>
      </c>
      <c r="B34" s="28">
        <v>4000</v>
      </c>
      <c r="C34" s="29">
        <v>4000</v>
      </c>
      <c r="D34" s="55" t="s">
        <v>8</v>
      </c>
      <c r="E34" s="1"/>
    </row>
    <row r="35" spans="1:5" ht="15.75" customHeight="1" thickBot="1" x14ac:dyDescent="0.3">
      <c r="A35" s="52" t="s">
        <v>39</v>
      </c>
      <c r="B35" s="23" t="s">
        <v>8</v>
      </c>
      <c r="C35" s="22" t="s">
        <v>8</v>
      </c>
      <c r="D35" s="18">
        <v>25000</v>
      </c>
      <c r="E35" s="8"/>
    </row>
    <row r="36" spans="1:5" ht="15.75" customHeight="1" thickTop="1" thickBot="1" x14ac:dyDescent="0.3">
      <c r="A36" s="46" t="s">
        <v>37</v>
      </c>
      <c r="B36" s="39">
        <f>B34*B19</f>
        <v>100000</v>
      </c>
      <c r="C36" s="40">
        <f>C34*C19</f>
        <v>600000</v>
      </c>
      <c r="D36" s="40">
        <f>D35*D19</f>
        <v>3250000</v>
      </c>
      <c r="E36" s="44"/>
    </row>
    <row r="37" spans="1:5" ht="15.75" customHeight="1" thickTop="1" thickBot="1" x14ac:dyDescent="0.3">
      <c r="A37" s="38" t="s">
        <v>6</v>
      </c>
      <c r="B37" s="39">
        <f t="shared" ref="B37:C37" si="2">B31+B32+B36</f>
        <v>5771200</v>
      </c>
      <c r="C37" s="40">
        <f t="shared" si="2"/>
        <v>10020400</v>
      </c>
      <c r="D37" s="40">
        <f>D31+D32+D36</f>
        <v>10846600</v>
      </c>
      <c r="E37" s="1"/>
    </row>
    <row r="38" spans="1:5" ht="15.75" customHeight="1" thickTop="1" x14ac:dyDescent="0.25">
      <c r="A38" s="5"/>
      <c r="B38" s="14"/>
      <c r="C38" s="15"/>
      <c r="D38" s="15"/>
      <c r="E38" s="1"/>
    </row>
    <row r="39" spans="1:5" ht="15.75" customHeight="1" x14ac:dyDescent="0.25">
      <c r="A39" s="34" t="s">
        <v>14</v>
      </c>
      <c r="B39" s="14"/>
      <c r="C39" s="15"/>
      <c r="D39" s="15"/>
      <c r="E39" s="1"/>
    </row>
    <row r="40" spans="1:5" ht="15.75" customHeight="1" x14ac:dyDescent="0.25">
      <c r="A40" s="4" t="s">
        <v>22</v>
      </c>
      <c r="B40" s="28">
        <v>25000</v>
      </c>
      <c r="C40" s="28">
        <v>0</v>
      </c>
      <c r="D40" s="29">
        <v>25000</v>
      </c>
      <c r="E40" s="1"/>
    </row>
    <row r="41" spans="1:5" ht="15.75" customHeight="1" thickBot="1" x14ac:dyDescent="0.3">
      <c r="A41" s="3" t="s">
        <v>23</v>
      </c>
      <c r="B41" s="20">
        <v>0</v>
      </c>
      <c r="C41" s="20">
        <v>5</v>
      </c>
      <c r="D41" s="21">
        <v>5</v>
      </c>
      <c r="E41" s="8"/>
    </row>
    <row r="42" spans="1:5" ht="15.75" customHeight="1" thickTop="1" thickBot="1" x14ac:dyDescent="0.3">
      <c r="A42" s="38" t="s">
        <v>35</v>
      </c>
      <c r="B42" s="39">
        <f>B40*B8</f>
        <v>625000</v>
      </c>
      <c r="C42" s="39">
        <f>C40*C8+C13*C41</f>
        <v>250000</v>
      </c>
      <c r="D42" s="39">
        <f>D40*D8+D13*D41</f>
        <v>1300000</v>
      </c>
      <c r="E42" s="1"/>
    </row>
    <row r="43" spans="1:5" ht="15.75" customHeight="1" thickTop="1" x14ac:dyDescent="0.25">
      <c r="A43" s="4"/>
      <c r="B43" s="28"/>
      <c r="C43" s="29"/>
      <c r="D43" s="29"/>
      <c r="E43" s="1"/>
    </row>
    <row r="44" spans="1:5" ht="15.75" customHeight="1" x14ac:dyDescent="0.25">
      <c r="A44" s="4" t="s">
        <v>17</v>
      </c>
      <c r="B44" s="14"/>
      <c r="C44" s="15"/>
      <c r="D44" s="15"/>
      <c r="E44" s="1"/>
    </row>
    <row r="45" spans="1:5" ht="15.75" customHeight="1" x14ac:dyDescent="0.25">
      <c r="A45" s="4" t="s">
        <v>24</v>
      </c>
      <c r="B45" s="28">
        <f>B8*10000</f>
        <v>250000</v>
      </c>
      <c r="C45" s="29">
        <f>C8*10000</f>
        <v>0</v>
      </c>
      <c r="D45" s="29">
        <f>D8*10000</f>
        <v>500000</v>
      </c>
      <c r="E45" s="1"/>
    </row>
    <row r="46" spans="1:5" ht="33" customHeight="1" x14ac:dyDescent="0.25">
      <c r="A46" s="4" t="s">
        <v>25</v>
      </c>
      <c r="B46" s="28">
        <f t="shared" ref="B46:C46" si="3">ROUND(B37*0.05,-2)</f>
        <v>288600</v>
      </c>
      <c r="C46" s="29">
        <f t="shared" si="3"/>
        <v>501000</v>
      </c>
      <c r="D46" s="29">
        <f>ROUND(D37*0.05,-2)</f>
        <v>542300</v>
      </c>
      <c r="E46" s="9"/>
    </row>
    <row r="47" spans="1:5" ht="15.75" customHeight="1" x14ac:dyDescent="0.25">
      <c r="A47" s="4" t="s">
        <v>26</v>
      </c>
      <c r="B47" s="28">
        <f t="shared" ref="B47:C47" si="4">0.05*B24</f>
        <v>600000</v>
      </c>
      <c r="C47" s="29">
        <f t="shared" si="4"/>
        <v>1250000</v>
      </c>
      <c r="D47" s="29">
        <f>0.05*D24</f>
        <v>1125000</v>
      </c>
      <c r="E47" s="1"/>
    </row>
    <row r="48" spans="1:5" ht="34.5" customHeight="1" x14ac:dyDescent="0.25">
      <c r="A48" s="171" t="s">
        <v>27</v>
      </c>
      <c r="B48" s="28">
        <f t="shared" ref="B48:C48" si="5">ROUND(0.02*B37,-2)</f>
        <v>115400</v>
      </c>
      <c r="C48" s="29">
        <f t="shared" si="5"/>
        <v>200400</v>
      </c>
      <c r="D48" s="29">
        <f>ROUND(0.02*D37,-2)</f>
        <v>216900</v>
      </c>
      <c r="E48" s="1"/>
    </row>
    <row r="49" spans="1:5" ht="15.75" customHeight="1" thickBot="1" x14ac:dyDescent="0.3">
      <c r="A49" s="3" t="s">
        <v>28</v>
      </c>
      <c r="B49" s="18">
        <f t="shared" ref="B49:C49" si="6">ROUND(0.1*B37,-2)</f>
        <v>577100</v>
      </c>
      <c r="C49" s="19">
        <f t="shared" si="6"/>
        <v>1002000</v>
      </c>
      <c r="D49" s="19">
        <f>ROUND(0.1*D37,-2)</f>
        <v>1084700</v>
      </c>
      <c r="E49" s="8"/>
    </row>
    <row r="50" spans="1:5" ht="15.75" customHeight="1" thickTop="1" thickBot="1" x14ac:dyDescent="0.3">
      <c r="A50" s="38" t="s">
        <v>36</v>
      </c>
      <c r="B50" s="39">
        <f t="shared" ref="B50:C50" si="7">SUM(B45:B49)</f>
        <v>1831100</v>
      </c>
      <c r="C50" s="40">
        <f t="shared" si="7"/>
        <v>2953400</v>
      </c>
      <c r="D50" s="40">
        <f>SUM(D45:D49)</f>
        <v>3468900</v>
      </c>
      <c r="E50" s="1"/>
    </row>
    <row r="51" spans="1:5" ht="18.75" customHeight="1" thickTop="1" thickBot="1" x14ac:dyDescent="0.3">
      <c r="A51" s="3"/>
      <c r="B51" s="18"/>
      <c r="C51" s="19"/>
      <c r="D51" s="19"/>
      <c r="E51" s="8"/>
    </row>
    <row r="52" spans="1:5" ht="18" customHeight="1" thickTop="1" thickBot="1" x14ac:dyDescent="0.3">
      <c r="A52" s="38" t="s">
        <v>47</v>
      </c>
      <c r="B52" s="39">
        <f t="shared" ref="B52:C52" si="8">B37+B42+SUM(B45:B49)</f>
        <v>8227300</v>
      </c>
      <c r="C52" s="40">
        <f t="shared" si="8"/>
        <v>13223800</v>
      </c>
      <c r="D52" s="40">
        <f>D37+D42+SUM(D45:D49)</f>
        <v>15615500</v>
      </c>
      <c r="E52" s="1"/>
    </row>
    <row r="53" spans="1:5" ht="15" customHeight="1" thickTop="1" thickBot="1" x14ac:dyDescent="0.3">
      <c r="A53" s="34"/>
      <c r="B53" s="61"/>
      <c r="C53" s="62"/>
      <c r="D53" s="62"/>
      <c r="E53" s="9"/>
    </row>
    <row r="54" spans="1:5" ht="47.25" customHeight="1" x14ac:dyDescent="0.25">
      <c r="A54" s="63" t="s">
        <v>50</v>
      </c>
      <c r="B54" s="175">
        <f t="shared" ref="B54:C54" si="9">B25-B52</f>
        <v>2593300</v>
      </c>
      <c r="C54" s="176">
        <f t="shared" si="9"/>
        <v>7103400</v>
      </c>
      <c r="D54" s="176">
        <f>D25-D52</f>
        <v>2679000</v>
      </c>
      <c r="E54" s="1"/>
    </row>
    <row r="55" spans="1:5" ht="15.75" customHeight="1" thickBot="1" x14ac:dyDescent="0.3">
      <c r="A55" s="64" t="s">
        <v>20</v>
      </c>
      <c r="B55" s="167">
        <f>B54/(43560*B5)</f>
        <v>59.533976124885214</v>
      </c>
      <c r="C55" s="65">
        <f>C54/(43560*C5)</f>
        <v>36.238138965411693</v>
      </c>
      <c r="D55" s="177">
        <f>D54/(43560*D5)</f>
        <v>107.89715335169882</v>
      </c>
      <c r="E55" s="1"/>
    </row>
    <row r="56" spans="1:5" ht="15.75" customHeight="1" thickBot="1" x14ac:dyDescent="0.3">
      <c r="A56" s="34"/>
      <c r="B56" s="61"/>
      <c r="C56" s="62"/>
      <c r="D56" s="62"/>
      <c r="E56" s="8"/>
    </row>
    <row r="57" spans="1:5" ht="33" customHeight="1" thickBot="1" x14ac:dyDescent="0.3">
      <c r="A57" s="60" t="s">
        <v>51</v>
      </c>
      <c r="B57" s="179">
        <f t="shared" ref="B57:C57" si="10">B24-B25</f>
        <v>1179400</v>
      </c>
      <c r="C57" s="178">
        <f t="shared" si="10"/>
        <v>4672800</v>
      </c>
      <c r="D57" s="178">
        <f>D24-D25</f>
        <v>4205500</v>
      </c>
      <c r="E57" s="1"/>
    </row>
    <row r="58" spans="1:5" ht="15.75" customHeight="1" x14ac:dyDescent="0.25"/>
    <row r="59" spans="1:5" ht="15.75" customHeight="1" x14ac:dyDescent="0.25"/>
    <row r="60" spans="1:5" ht="15.75" customHeight="1" x14ac:dyDescent="0.25"/>
    <row r="61" spans="1:5" ht="15.75" customHeight="1" x14ac:dyDescent="0.25"/>
    <row r="62" spans="1:5" ht="15.75" customHeight="1" x14ac:dyDescent="0.25"/>
  </sheetData>
  <mergeCells count="2">
    <mergeCell ref="A2:D2"/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D19" sqref="D19"/>
    </sheetView>
  </sheetViews>
  <sheetFormatPr defaultColWidth="8.875" defaultRowHeight="15.75" x14ac:dyDescent="0.25"/>
  <cols>
    <col min="1" max="1" width="33.625" style="73" customWidth="1"/>
    <col min="2" max="2" width="13.125" style="73" customWidth="1"/>
    <col min="3" max="3" width="12.625" style="73" customWidth="1"/>
    <col min="4" max="16384" width="8.875" style="73"/>
  </cols>
  <sheetData>
    <row r="1" spans="1:5" x14ac:dyDescent="0.25">
      <c r="A1" s="193" t="s">
        <v>74</v>
      </c>
      <c r="B1" s="193"/>
      <c r="C1" s="193"/>
    </row>
    <row r="2" spans="1:5" x14ac:dyDescent="0.25">
      <c r="A2" s="194" t="s">
        <v>73</v>
      </c>
      <c r="B2" s="194"/>
      <c r="C2" s="194"/>
      <c r="D2" s="1"/>
      <c r="E2" s="1"/>
    </row>
    <row r="3" spans="1:5" ht="17.25" customHeight="1" thickBot="1" x14ac:dyDescent="0.3">
      <c r="A3" s="86"/>
      <c r="B3" s="191" t="s">
        <v>72</v>
      </c>
      <c r="C3" s="192"/>
      <c r="D3" s="1"/>
      <c r="E3" s="1"/>
    </row>
    <row r="4" spans="1:5" x14ac:dyDescent="0.25">
      <c r="A4" s="85" t="s">
        <v>71</v>
      </c>
      <c r="B4" s="84" t="s">
        <v>70</v>
      </c>
      <c r="C4" s="83" t="s">
        <v>69</v>
      </c>
    </row>
    <row r="5" spans="1:5" x14ac:dyDescent="0.25">
      <c r="A5" s="82" t="s">
        <v>68</v>
      </c>
      <c r="B5" s="81">
        <v>2000</v>
      </c>
      <c r="C5" s="80">
        <v>10000</v>
      </c>
    </row>
    <row r="6" spans="1:5" ht="16.5" customHeight="1" x14ac:dyDescent="0.25">
      <c r="A6" s="82" t="s">
        <v>67</v>
      </c>
      <c r="B6" s="81">
        <v>5000</v>
      </c>
      <c r="C6" s="80">
        <v>20000</v>
      </c>
    </row>
    <row r="7" spans="1:5" x14ac:dyDescent="0.25">
      <c r="A7" s="82" t="s">
        <v>66</v>
      </c>
      <c r="B7" s="81">
        <v>10000</v>
      </c>
      <c r="C7" s="80">
        <v>20000</v>
      </c>
    </row>
    <row r="8" spans="1:5" ht="16.5" customHeight="1" x14ac:dyDescent="0.25">
      <c r="A8" s="82" t="s">
        <v>65</v>
      </c>
      <c r="B8" s="81">
        <v>5000</v>
      </c>
      <c r="C8" s="80">
        <v>10000</v>
      </c>
    </row>
    <row r="9" spans="1:5" ht="15.75" customHeight="1" x14ac:dyDescent="0.25">
      <c r="A9" s="82" t="s">
        <v>64</v>
      </c>
      <c r="B9" s="81">
        <v>5000</v>
      </c>
      <c r="C9" s="80">
        <v>10000</v>
      </c>
    </row>
    <row r="10" spans="1:5" ht="16.5" thickBot="1" x14ac:dyDescent="0.3">
      <c r="A10" s="79" t="s">
        <v>63</v>
      </c>
      <c r="B10" s="78">
        <v>5000</v>
      </c>
      <c r="C10" s="77">
        <v>10000</v>
      </c>
    </row>
    <row r="11" spans="1:5" ht="24" customHeight="1" thickTop="1" thickBot="1" x14ac:dyDescent="0.3">
      <c r="A11" s="76" t="s">
        <v>62</v>
      </c>
      <c r="B11" s="75">
        <f>SUM(B5:B10)</f>
        <v>32000</v>
      </c>
      <c r="C11" s="75">
        <f>SUM(C5:C10)</f>
        <v>80000</v>
      </c>
    </row>
    <row r="12" spans="1:5" x14ac:dyDescent="0.25">
      <c r="A12" s="74" t="s">
        <v>61</v>
      </c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</sheetData>
  <mergeCells count="3">
    <mergeCell ref="B3:C3"/>
    <mergeCell ref="A1:C1"/>
    <mergeCell ref="A2:C2"/>
  </mergeCells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2" zoomScale="125" zoomScaleNormal="125" zoomScalePageLayoutView="125" workbookViewId="0">
      <selection activeCell="K55" sqref="K55"/>
    </sheetView>
  </sheetViews>
  <sheetFormatPr defaultColWidth="8.875" defaultRowHeight="12.75" x14ac:dyDescent="0.2"/>
  <cols>
    <col min="1" max="1" width="23" style="1" customWidth="1"/>
    <col min="2" max="2" width="7.125" style="1" customWidth="1"/>
    <col min="3" max="3" width="7.375" style="1" customWidth="1"/>
    <col min="4" max="4" width="7.125" style="1" customWidth="1"/>
    <col min="5" max="5" width="10.5" style="1" customWidth="1"/>
    <col min="6" max="6" width="11" style="1" customWidth="1"/>
    <col min="7" max="7" width="8.875" style="1"/>
    <col min="8" max="8" width="9.875" style="1" bestFit="1" customWidth="1"/>
    <col min="9" max="16384" width="8.875" style="1"/>
  </cols>
  <sheetData>
    <row r="1" spans="1:7" ht="15.75" x14ac:dyDescent="0.25">
      <c r="A1" s="201" t="s">
        <v>130</v>
      </c>
      <c r="B1" s="201"/>
      <c r="C1" s="201"/>
    </row>
    <row r="2" spans="1:7" s="165" customFormat="1" ht="16.5" thickBot="1" x14ac:dyDescent="0.3">
      <c r="A2" s="198" t="s">
        <v>129</v>
      </c>
      <c r="B2" s="198"/>
      <c r="C2" s="198"/>
      <c r="D2" s="198"/>
      <c r="E2" s="198"/>
      <c r="F2" s="166"/>
    </row>
    <row r="3" spans="1:7" ht="15.75" thickBot="1" x14ac:dyDescent="0.3">
      <c r="A3" s="164" t="s">
        <v>128</v>
      </c>
      <c r="B3" s="163" t="s">
        <v>127</v>
      </c>
      <c r="C3" s="163" t="s">
        <v>29</v>
      </c>
      <c r="D3" s="6"/>
      <c r="E3" s="6"/>
      <c r="F3" s="6"/>
    </row>
    <row r="4" spans="1:7" ht="15.75" thickBot="1" x14ac:dyDescent="0.3">
      <c r="A4" s="88" t="s">
        <v>126</v>
      </c>
      <c r="B4" s="162">
        <f>C4/43560</f>
        <v>0.91827364554637281</v>
      </c>
      <c r="C4" s="161">
        <v>40000</v>
      </c>
      <c r="D4" s="6"/>
      <c r="E4" s="6"/>
      <c r="F4" s="6"/>
    </row>
    <row r="5" spans="1:7" ht="15.75" thickBot="1" x14ac:dyDescent="0.3">
      <c r="A5" s="115" t="s">
        <v>125</v>
      </c>
      <c r="B5" s="160">
        <f>C5/43560</f>
        <v>0.4591368227731864</v>
      </c>
      <c r="C5" s="159">
        <v>20000</v>
      </c>
      <c r="D5" s="6"/>
      <c r="E5" s="6"/>
      <c r="F5" s="6"/>
    </row>
    <row r="6" spans="1:7" ht="16.5" thickTop="1" thickBot="1" x14ac:dyDescent="0.3">
      <c r="A6" s="99" t="s">
        <v>124</v>
      </c>
      <c r="B6" s="158">
        <f>SUM(B4:B5)</f>
        <v>1.3774104683195592</v>
      </c>
      <c r="C6" s="157">
        <f>SUM(C4:C5)</f>
        <v>60000</v>
      </c>
      <c r="D6" s="6"/>
      <c r="E6" s="6"/>
      <c r="F6" s="6"/>
    </row>
    <row r="7" spans="1:7" ht="15.75" thickBot="1" x14ac:dyDescent="0.3">
      <c r="A7" s="6"/>
      <c r="B7" s="6"/>
      <c r="C7" s="6"/>
      <c r="D7" s="6"/>
      <c r="E7" s="6"/>
      <c r="F7" s="6"/>
    </row>
    <row r="8" spans="1:7" ht="15.95" customHeight="1" thickBot="1" x14ac:dyDescent="0.25">
      <c r="A8" s="202" t="s">
        <v>123</v>
      </c>
      <c r="B8" s="202"/>
      <c r="C8" s="202"/>
      <c r="D8" s="202"/>
      <c r="E8" s="202"/>
      <c r="F8" s="203"/>
    </row>
    <row r="9" spans="1:7" ht="26.25" thickBot="1" x14ac:dyDescent="0.25">
      <c r="A9" s="100" t="s">
        <v>122</v>
      </c>
      <c r="B9" s="110" t="s">
        <v>121</v>
      </c>
      <c r="C9" s="110" t="s">
        <v>29</v>
      </c>
      <c r="D9" s="135" t="s">
        <v>105</v>
      </c>
      <c r="E9" s="110" t="s">
        <v>120</v>
      </c>
      <c r="F9" s="110" t="s">
        <v>103</v>
      </c>
    </row>
    <row r="10" spans="1:7" ht="13.5" thickBot="1" x14ac:dyDescent="0.25">
      <c r="A10" s="88" t="s">
        <v>119</v>
      </c>
      <c r="B10" s="156">
        <v>24</v>
      </c>
      <c r="C10" s="131">
        <v>1100</v>
      </c>
      <c r="D10" s="109">
        <v>420</v>
      </c>
      <c r="E10" s="109">
        <v>462000</v>
      </c>
      <c r="F10" s="109">
        <f>B10*E10</f>
        <v>11088000</v>
      </c>
      <c r="G10" s="9"/>
    </row>
    <row r="11" spans="1:7" ht="13.5" thickBot="1" x14ac:dyDescent="0.25">
      <c r="A11" s="88" t="s">
        <v>118</v>
      </c>
      <c r="B11" s="156">
        <v>24</v>
      </c>
      <c r="C11" s="131">
        <v>1280</v>
      </c>
      <c r="D11" s="109">
        <v>400</v>
      </c>
      <c r="E11" s="109">
        <v>512000</v>
      </c>
      <c r="F11" s="109">
        <f>B11*E11</f>
        <v>12288000</v>
      </c>
      <c r="G11" s="9"/>
    </row>
    <row r="12" spans="1:7" ht="13.5" thickBot="1" x14ac:dyDescent="0.25">
      <c r="A12" s="155" t="s">
        <v>117</v>
      </c>
      <c r="B12" s="154">
        <v>12</v>
      </c>
      <c r="C12" s="153">
        <v>1410</v>
      </c>
      <c r="D12" s="152">
        <v>213</v>
      </c>
      <c r="E12" s="152">
        <v>300330</v>
      </c>
      <c r="F12" s="104">
        <f>B12*E12</f>
        <v>3603960</v>
      </c>
      <c r="G12" s="9"/>
    </row>
    <row r="13" spans="1:7" ht="13.5" thickBot="1" x14ac:dyDescent="0.25">
      <c r="A13" s="115" t="s">
        <v>116</v>
      </c>
      <c r="B13" s="151"/>
      <c r="C13" s="150">
        <v>0.15</v>
      </c>
      <c r="D13" s="113"/>
      <c r="E13" s="113"/>
      <c r="F13" s="113"/>
      <c r="G13" s="9"/>
    </row>
    <row r="14" spans="1:7" ht="14.25" thickTop="1" thickBot="1" x14ac:dyDescent="0.25">
      <c r="A14" s="136" t="s">
        <v>115</v>
      </c>
      <c r="B14" s="133">
        <v>60</v>
      </c>
      <c r="C14" s="141">
        <f>(1+C13)*(B10*C10+B11*C11+B12*C12)</f>
        <v>85146</v>
      </c>
      <c r="D14" s="136"/>
      <c r="E14" s="136"/>
      <c r="F14" s="140">
        <f>SUM(F10:F13)</f>
        <v>26979960</v>
      </c>
    </row>
    <row r="15" spans="1:7" ht="5.25" customHeight="1" thickBot="1" x14ac:dyDescent="0.25">
      <c r="A15" s="136"/>
      <c r="B15" s="149"/>
      <c r="C15" s="148"/>
      <c r="D15" s="133"/>
      <c r="E15" s="133"/>
      <c r="F15" s="147"/>
    </row>
    <row r="16" spans="1:7" ht="13.5" thickBot="1" x14ac:dyDescent="0.25">
      <c r="A16" s="100" t="s">
        <v>114</v>
      </c>
      <c r="B16" s="146"/>
      <c r="C16" s="145" t="s">
        <v>29</v>
      </c>
      <c r="D16" s="110" t="s">
        <v>113</v>
      </c>
      <c r="E16" s="110" t="s">
        <v>112</v>
      </c>
      <c r="F16" s="110" t="s">
        <v>103</v>
      </c>
    </row>
    <row r="17" spans="1:9" ht="13.5" thickBot="1" x14ac:dyDescent="0.25">
      <c r="A17" s="88" t="s">
        <v>111</v>
      </c>
      <c r="B17" s="144"/>
      <c r="C17" s="143">
        <v>10000</v>
      </c>
      <c r="D17" s="109">
        <v>22</v>
      </c>
      <c r="E17" s="109">
        <f>C17*D17</f>
        <v>220000</v>
      </c>
      <c r="F17" s="109">
        <f>E17/B18</f>
        <v>3384615.3846153845</v>
      </c>
    </row>
    <row r="18" spans="1:9" ht="13.5" thickBot="1" x14ac:dyDescent="0.25">
      <c r="A18" s="142" t="s">
        <v>9</v>
      </c>
      <c r="B18" s="102">
        <v>6.5000000000000002E-2</v>
      </c>
      <c r="C18" s="103"/>
      <c r="D18" s="103"/>
      <c r="E18" s="115"/>
      <c r="F18" s="115"/>
    </row>
    <row r="19" spans="1:9" ht="14.25" thickTop="1" thickBot="1" x14ac:dyDescent="0.25">
      <c r="A19" s="136" t="s">
        <v>110</v>
      </c>
      <c r="B19" s="136"/>
      <c r="C19" s="141">
        <v>10000</v>
      </c>
      <c r="D19" s="136"/>
      <c r="E19" s="136"/>
      <c r="F19" s="140">
        <f>SUM(F17:F18)</f>
        <v>3384615.3846153845</v>
      </c>
    </row>
    <row r="20" spans="1:9" ht="13.5" thickBot="1" x14ac:dyDescent="0.25">
      <c r="A20" s="97" t="s">
        <v>109</v>
      </c>
      <c r="B20" s="138"/>
      <c r="C20" s="139">
        <v>95146</v>
      </c>
      <c r="D20" s="138"/>
      <c r="E20" s="138"/>
      <c r="F20" s="137">
        <f>F14+F19</f>
        <v>30364575.384615384</v>
      </c>
    </row>
    <row r="21" spans="1:9" ht="13.5" thickBot="1" x14ac:dyDescent="0.25"/>
    <row r="22" spans="1:9" ht="15.95" customHeight="1" thickBot="1" x14ac:dyDescent="0.25">
      <c r="A22" s="202" t="s">
        <v>108</v>
      </c>
      <c r="B22" s="202"/>
      <c r="C22" s="202"/>
      <c r="D22" s="202"/>
      <c r="E22" s="202"/>
      <c r="F22" s="203"/>
    </row>
    <row r="23" spans="1:9" ht="26.25" thickBot="1" x14ac:dyDescent="0.25">
      <c r="A23" s="136" t="s">
        <v>107</v>
      </c>
      <c r="B23" s="135" t="s">
        <v>106</v>
      </c>
      <c r="C23" s="135" t="s">
        <v>29</v>
      </c>
      <c r="D23" s="135" t="s">
        <v>105</v>
      </c>
      <c r="E23" s="134" t="s">
        <v>104</v>
      </c>
      <c r="F23" s="133" t="s">
        <v>103</v>
      </c>
      <c r="H23" s="132"/>
      <c r="I23" s="130"/>
    </row>
    <row r="24" spans="1:9" ht="13.5" thickBot="1" x14ac:dyDescent="0.25">
      <c r="A24" s="88" t="s">
        <v>102</v>
      </c>
      <c r="B24" s="116"/>
      <c r="C24" s="131">
        <v>85146</v>
      </c>
      <c r="D24" s="109">
        <v>135</v>
      </c>
      <c r="E24" s="117"/>
      <c r="F24" s="109">
        <f>C24*D24</f>
        <v>11494710</v>
      </c>
      <c r="H24" s="130"/>
      <c r="I24" s="130"/>
    </row>
    <row r="25" spans="1:9" ht="13.5" thickBot="1" x14ac:dyDescent="0.25">
      <c r="A25" s="129" t="s">
        <v>101</v>
      </c>
      <c r="B25" s="116"/>
      <c r="C25" s="128">
        <v>10000</v>
      </c>
      <c r="D25" s="109">
        <v>120</v>
      </c>
      <c r="E25" s="127"/>
      <c r="F25" s="109">
        <f>C25*D25</f>
        <v>1200000</v>
      </c>
    </row>
    <row r="26" spans="1:9" ht="13.5" thickBot="1" x14ac:dyDescent="0.25">
      <c r="A26" s="126" t="s">
        <v>100</v>
      </c>
      <c r="B26" s="116"/>
      <c r="C26" s="125">
        <v>60000</v>
      </c>
      <c r="D26" s="109">
        <v>25</v>
      </c>
      <c r="E26" s="124"/>
      <c r="F26" s="109">
        <f>C26*D26</f>
        <v>1500000</v>
      </c>
    </row>
    <row r="27" spans="1:9" ht="13.5" thickBot="1" x14ac:dyDescent="0.25">
      <c r="A27" s="103" t="s">
        <v>1</v>
      </c>
      <c r="B27" s="123">
        <v>140</v>
      </c>
      <c r="C27" s="122"/>
      <c r="D27" s="112"/>
      <c r="E27" s="121">
        <v>15000</v>
      </c>
      <c r="F27" s="111">
        <f>B27*E27</f>
        <v>2100000</v>
      </c>
    </row>
    <row r="28" spans="1:9" ht="14.25" thickTop="1" thickBot="1" x14ac:dyDescent="0.25">
      <c r="A28" s="100" t="s">
        <v>6</v>
      </c>
      <c r="B28" s="88"/>
      <c r="C28" s="88"/>
      <c r="D28" s="88"/>
      <c r="E28" s="88"/>
      <c r="F28" s="87">
        <f>SUM(F24:F27)</f>
        <v>16294710</v>
      </c>
    </row>
    <row r="29" spans="1:9" ht="5.25" customHeight="1" thickBot="1" x14ac:dyDescent="0.25">
      <c r="A29" s="88"/>
      <c r="B29" s="88"/>
      <c r="C29" s="88"/>
      <c r="D29" s="88"/>
      <c r="E29" s="88"/>
      <c r="F29" s="88"/>
    </row>
    <row r="30" spans="1:9" ht="13.5" thickBot="1" x14ac:dyDescent="0.25">
      <c r="A30" s="100" t="s">
        <v>99</v>
      </c>
      <c r="B30" s="88"/>
      <c r="C30" s="110"/>
      <c r="D30" s="120"/>
      <c r="E30" s="119"/>
      <c r="F30" s="88"/>
    </row>
    <row r="31" spans="1:9" ht="13.5" thickBot="1" x14ac:dyDescent="0.25">
      <c r="A31" s="88" t="s">
        <v>98</v>
      </c>
      <c r="B31" s="118">
        <v>60</v>
      </c>
      <c r="C31" s="117"/>
      <c r="D31" s="116"/>
      <c r="E31" s="109">
        <v>10000</v>
      </c>
      <c r="F31" s="109">
        <f>B31*E31</f>
        <v>600000</v>
      </c>
    </row>
    <row r="32" spans="1:9" ht="13.5" thickBot="1" x14ac:dyDescent="0.25">
      <c r="A32" s="115" t="s">
        <v>97</v>
      </c>
      <c r="B32" s="114">
        <v>60</v>
      </c>
      <c r="C32" s="113"/>
      <c r="D32" s="112"/>
      <c r="E32" s="101">
        <v>10000</v>
      </c>
      <c r="F32" s="111">
        <f>B32*E32</f>
        <v>600000</v>
      </c>
    </row>
    <row r="33" spans="1:6" ht="14.25" thickTop="1" thickBot="1" x14ac:dyDescent="0.25">
      <c r="A33" s="100" t="s">
        <v>96</v>
      </c>
      <c r="B33" s="88"/>
      <c r="C33" s="88"/>
      <c r="D33" s="88"/>
      <c r="E33" s="88"/>
      <c r="F33" s="87">
        <f>SUM(F31:F32)</f>
        <v>1200000</v>
      </c>
    </row>
    <row r="34" spans="1:6" ht="4.5" customHeight="1" thickBot="1" x14ac:dyDescent="0.25">
      <c r="A34" s="88"/>
      <c r="B34" s="88"/>
      <c r="C34" s="88"/>
      <c r="D34" s="88"/>
      <c r="E34" s="88"/>
      <c r="F34" s="88"/>
    </row>
    <row r="35" spans="1:6" ht="15.95" customHeight="1" thickBot="1" x14ac:dyDescent="0.25">
      <c r="A35" s="100" t="s">
        <v>95</v>
      </c>
      <c r="B35" s="110" t="s">
        <v>94</v>
      </c>
      <c r="C35" s="204" t="s">
        <v>93</v>
      </c>
      <c r="D35" s="205"/>
      <c r="E35" s="206"/>
      <c r="F35" s="88"/>
    </row>
    <row r="36" spans="1:6" ht="13.5" thickBot="1" x14ac:dyDescent="0.25">
      <c r="A36" s="88" t="s">
        <v>92</v>
      </c>
      <c r="B36" s="107">
        <v>4.4999999999999998E-2</v>
      </c>
      <c r="C36" s="210" t="s">
        <v>88</v>
      </c>
      <c r="D36" s="211"/>
      <c r="E36" s="212"/>
      <c r="F36" s="109">
        <f>B36*F28</f>
        <v>733261.95</v>
      </c>
    </row>
    <row r="37" spans="1:6" ht="13.5" thickBot="1" x14ac:dyDescent="0.25">
      <c r="A37" s="88" t="s">
        <v>91</v>
      </c>
      <c r="B37" s="107">
        <v>0.05</v>
      </c>
      <c r="C37" s="213" t="s">
        <v>90</v>
      </c>
      <c r="D37" s="214"/>
      <c r="E37" s="215"/>
      <c r="F37" s="109">
        <f>B37*F20</f>
        <v>1518228.7692307692</v>
      </c>
    </row>
    <row r="38" spans="1:6" ht="13.5" thickBot="1" x14ac:dyDescent="0.25">
      <c r="A38" s="88" t="s">
        <v>89</v>
      </c>
      <c r="B38" s="107">
        <v>0.04</v>
      </c>
      <c r="C38" s="213" t="s">
        <v>88</v>
      </c>
      <c r="D38" s="214"/>
      <c r="E38" s="215"/>
      <c r="F38" s="109">
        <f>B38*F28</f>
        <v>651788.4</v>
      </c>
    </row>
    <row r="39" spans="1:6" ht="26.25" thickBot="1" x14ac:dyDescent="0.25">
      <c r="A39" s="108" t="s">
        <v>87</v>
      </c>
      <c r="B39" s="107">
        <v>8.5000000000000006E-2</v>
      </c>
      <c r="C39" s="195" t="s">
        <v>86</v>
      </c>
      <c r="D39" s="196"/>
      <c r="E39" s="197"/>
      <c r="F39" s="104">
        <f>0.6*B39*(F$28+F$33)</f>
        <v>892230.21000000008</v>
      </c>
    </row>
    <row r="40" spans="1:6" ht="13.5" thickBot="1" x14ac:dyDescent="0.25">
      <c r="A40" s="106" t="s">
        <v>85</v>
      </c>
      <c r="B40" s="105">
        <v>0.01</v>
      </c>
      <c r="C40" s="195" t="s">
        <v>83</v>
      </c>
      <c r="D40" s="196"/>
      <c r="E40" s="196"/>
      <c r="F40" s="104">
        <f>B40*(F$28+F$33)</f>
        <v>174947.1</v>
      </c>
    </row>
    <row r="41" spans="1:6" ht="13.5" thickBot="1" x14ac:dyDescent="0.25">
      <c r="A41" s="103" t="s">
        <v>84</v>
      </c>
      <c r="B41" s="102">
        <v>0.1</v>
      </c>
      <c r="C41" s="207" t="s">
        <v>83</v>
      </c>
      <c r="D41" s="208"/>
      <c r="E41" s="209"/>
      <c r="F41" s="101">
        <f>B41*(F$28+F$33)</f>
        <v>1749471</v>
      </c>
    </row>
    <row r="42" spans="1:6" ht="14.25" thickTop="1" thickBot="1" x14ac:dyDescent="0.25">
      <c r="A42" s="100" t="s">
        <v>82</v>
      </c>
      <c r="B42" s="100"/>
      <c r="C42" s="100"/>
      <c r="D42" s="100"/>
      <c r="E42" s="100"/>
      <c r="F42" s="87">
        <f>SUM(F36:F41)</f>
        <v>5719927.4292307692</v>
      </c>
    </row>
    <row r="43" spans="1:6" ht="3" customHeight="1" thickBot="1" x14ac:dyDescent="0.25">
      <c r="A43" s="100"/>
      <c r="B43" s="100"/>
      <c r="C43" s="100"/>
      <c r="D43" s="100"/>
      <c r="E43" s="100"/>
      <c r="F43" s="87"/>
    </row>
    <row r="44" spans="1:6" s="91" customFormat="1" ht="13.5" thickBot="1" x14ac:dyDescent="0.25">
      <c r="A44" s="99" t="s">
        <v>81</v>
      </c>
      <c r="B44" s="99"/>
      <c r="C44" s="99"/>
      <c r="D44" s="99"/>
      <c r="E44" s="99"/>
      <c r="F44" s="98">
        <f>F42+F33+F28</f>
        <v>23214637.429230768</v>
      </c>
    </row>
    <row r="45" spans="1:6" ht="6" customHeight="1" thickBot="1" x14ac:dyDescent="0.3">
      <c r="A45" s="6"/>
      <c r="B45" s="6"/>
      <c r="C45" s="6"/>
      <c r="D45" s="6"/>
      <c r="E45" s="6"/>
      <c r="F45" s="6"/>
    </row>
    <row r="46" spans="1:6" s="91" customFormat="1" ht="13.5" thickBot="1" x14ac:dyDescent="0.25">
      <c r="A46" s="97" t="s">
        <v>80</v>
      </c>
      <c r="B46" s="96"/>
      <c r="C46" s="95"/>
      <c r="D46" s="94">
        <v>0.2</v>
      </c>
      <c r="E46" s="93"/>
      <c r="F46" s="92">
        <f>F20/(1+D46)</f>
        <v>25303812.82051282</v>
      </c>
    </row>
    <row r="47" spans="1:6" ht="6" customHeight="1" thickBot="1" x14ac:dyDescent="0.3">
      <c r="A47" s="6"/>
      <c r="B47" s="6"/>
      <c r="C47" s="6"/>
      <c r="D47" s="6"/>
      <c r="E47" s="6"/>
      <c r="F47" s="6"/>
    </row>
    <row r="48" spans="1:6" s="91" customFormat="1" ht="15.95" customHeight="1" thickBot="1" x14ac:dyDescent="0.25">
      <c r="A48" s="202" t="s">
        <v>79</v>
      </c>
      <c r="B48" s="202"/>
      <c r="C48" s="202"/>
      <c r="D48" s="202"/>
      <c r="E48" s="202"/>
      <c r="F48" s="203"/>
    </row>
    <row r="49" spans="1:8" ht="27.6" customHeight="1" thickBot="1" x14ac:dyDescent="0.25">
      <c r="A49" s="199" t="s">
        <v>78</v>
      </c>
      <c r="B49" s="199"/>
      <c r="C49" s="199"/>
      <c r="D49" s="199"/>
      <c r="E49" s="200"/>
      <c r="F49" s="87">
        <f>F46-F44</f>
        <v>2089175.3912820518</v>
      </c>
      <c r="H49" s="9"/>
    </row>
    <row r="50" spans="1:8" ht="15" customHeight="1" thickBot="1" x14ac:dyDescent="0.25">
      <c r="A50" s="90" t="s">
        <v>77</v>
      </c>
      <c r="B50" s="88"/>
      <c r="C50" s="88"/>
      <c r="D50" s="88"/>
      <c r="E50" s="88"/>
      <c r="F50" s="87">
        <f>F49/B6</f>
        <v>1516741.3340707696</v>
      </c>
    </row>
    <row r="51" spans="1:8" ht="13.5" thickBot="1" x14ac:dyDescent="0.25">
      <c r="A51" s="88" t="s">
        <v>76</v>
      </c>
      <c r="B51" s="88"/>
      <c r="C51" s="88"/>
      <c r="D51" s="88"/>
      <c r="E51" s="88"/>
      <c r="F51" s="89">
        <f>F49/C6</f>
        <v>34.819589854700865</v>
      </c>
    </row>
    <row r="52" spans="1:8" ht="13.5" thickBot="1" x14ac:dyDescent="0.25">
      <c r="A52" s="88" t="s">
        <v>75</v>
      </c>
      <c r="B52" s="88"/>
      <c r="C52" s="88"/>
      <c r="D52" s="88"/>
      <c r="E52" s="88"/>
      <c r="F52" s="87">
        <f>F49/B14</f>
        <v>34819.589854700862</v>
      </c>
    </row>
  </sheetData>
  <mergeCells count="13">
    <mergeCell ref="C39:E39"/>
    <mergeCell ref="C40:E40"/>
    <mergeCell ref="A2:E2"/>
    <mergeCell ref="A49:E49"/>
    <mergeCell ref="A1:C1"/>
    <mergeCell ref="A8:F8"/>
    <mergeCell ref="A22:F22"/>
    <mergeCell ref="A48:F48"/>
    <mergeCell ref="C35:E35"/>
    <mergeCell ref="C41:E41"/>
    <mergeCell ref="C36:E36"/>
    <mergeCell ref="C37:E37"/>
    <mergeCell ref="C38:E3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 Figure 3-1</vt:lpstr>
      <vt:lpstr>NEW figure 3-2</vt:lpstr>
      <vt:lpstr>Figure 3-4</vt:lpstr>
      <vt:lpstr>Figure 3-5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Lingo</dc:creator>
  <cp:lastModifiedBy>Carolyn Spaw</cp:lastModifiedBy>
  <cp:lastPrinted>2011-04-04T20:30:32Z</cp:lastPrinted>
  <dcterms:created xsi:type="dcterms:W3CDTF">2010-11-04T01:17:06Z</dcterms:created>
  <dcterms:modified xsi:type="dcterms:W3CDTF">2011-04-05T15:03:29Z</dcterms:modified>
</cp:coreProperties>
</file>