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15" yWindow="510" windowWidth="16965" windowHeight="10440" tabRatio="670"/>
  </bookViews>
  <sheets>
    <sheet name="Figure 2-11" sheetId="8" r:id="rId1"/>
    <sheet name="Figure 2-12" sheetId="4" r:id="rId2"/>
    <sheet name="Figure 2-13" sheetId="9" r:id="rId3"/>
    <sheet name="Figure 2-14" sheetId="10" r:id="rId4"/>
    <sheet name="Figure 2-15" sheetId="11" r:id="rId5"/>
    <sheet name="Figure 2-16" sheetId="1" r:id="rId6"/>
    <sheet name="Figure 2-17" sheetId="7" r:id="rId7"/>
  </sheets>
  <definedNames>
    <definedName name="_xlnm.Print_Area" localSheetId="0">'Figure 2-11'!$A$1:$G$12</definedName>
    <definedName name="_xlnm.Print_Area" localSheetId="1">'Figure 2-12'!$A$2:$G$36</definedName>
    <definedName name="_xlnm.Print_Area" localSheetId="2">'Figure 2-13'!$A$1:$G$13</definedName>
    <definedName name="_xlnm.Print_Area" localSheetId="3">'Figure 2-14'!$A$1:$G$9</definedName>
    <definedName name="_xlnm.Print_Area" localSheetId="4">'Figure 2-15'!$A$1:$G$11</definedName>
    <definedName name="_xlnm.Print_Area" localSheetId="5">'Figure 2-16'!$A$1:$N$48</definedName>
    <definedName name="_xlnm.Print_Area" localSheetId="6">'Figure 2-17'!$A$1:$O$26</definedName>
    <definedName name="_xlnm.Print_Area">#REF!</definedName>
    <definedName name="print_area2">#REF!</definedName>
    <definedName name="print_area3">#REF!</definedName>
    <definedName name="print_area4">#REF!</definedName>
    <definedName name="_xlnm.Print_Titles" localSheetId="5">'Figure 2-16'!$A:$B</definedName>
    <definedName name="_xlnm.Print_Titles">#N/A</definedName>
    <definedName name="print1_area" localSheetId="2">#REF!</definedName>
    <definedName name="print1_area" localSheetId="3">#REF!</definedName>
    <definedName name="print1_area" localSheetId="4">#REF!</definedName>
    <definedName name="print1_area">#REF!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0" l="1"/>
  <c r="D7" i="8"/>
  <c r="A6" i="4"/>
  <c r="A7" i="4" s="1"/>
  <c r="A8" i="4" s="1"/>
  <c r="A10" i="4" s="1"/>
  <c r="A11" i="4" s="1"/>
  <c r="A12" i="4" s="1"/>
  <c r="E7" i="4"/>
  <c r="E12" i="4"/>
  <c r="E14" i="4"/>
  <c r="E8" i="4"/>
  <c r="A13" i="4"/>
  <c r="A14" i="4" s="1"/>
  <c r="A15" i="4" s="1"/>
  <c r="A16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30" i="4" s="1"/>
  <c r="A32" i="4" s="1"/>
  <c r="A33" i="4" s="1"/>
  <c r="A35" i="4" s="1"/>
  <c r="E9" i="8"/>
  <c r="D9" i="8"/>
  <c r="F9" i="8" s="1"/>
  <c r="E7" i="8"/>
  <c r="E33" i="4"/>
  <c r="A5" i="9"/>
  <c r="A6" i="9" s="1"/>
  <c r="A7" i="9" s="1"/>
  <c r="A8" i="9" s="1"/>
  <c r="A9" i="9" s="1"/>
  <c r="A10" i="9" s="1"/>
  <c r="A11" i="9" s="1"/>
  <c r="A13" i="9" s="1"/>
  <c r="A6" i="10"/>
  <c r="A7" i="10" s="1"/>
  <c r="A8" i="10" s="1"/>
  <c r="A9" i="10" s="1"/>
  <c r="E10" i="9"/>
  <c r="G10" i="9" s="1"/>
  <c r="F6" i="9"/>
  <c r="F7" i="9"/>
  <c r="F6" i="8"/>
  <c r="F5" i="8"/>
  <c r="F4" i="8"/>
  <c r="A4" i="8"/>
  <c r="A5" i="8"/>
  <c r="A6" i="8" s="1"/>
  <c r="A7" i="8"/>
  <c r="A8" i="8" s="1"/>
  <c r="A9" i="8" s="1"/>
  <c r="A10" i="8" s="1"/>
  <c r="A11" i="8"/>
  <c r="A12" i="8" s="1"/>
  <c r="H6" i="1"/>
  <c r="H17" i="1"/>
  <c r="I17" i="1"/>
  <c r="J17" i="1" s="1"/>
  <c r="K17" i="1"/>
  <c r="L17" i="1" s="1"/>
  <c r="M17" i="1" s="1"/>
  <c r="N17" i="1" s="1"/>
  <c r="A5" i="1"/>
  <c r="A6" i="1" s="1"/>
  <c r="A7" i="1" s="1"/>
  <c r="A8" i="1" s="1"/>
  <c r="A9" i="1"/>
  <c r="A10" i="1" s="1"/>
  <c r="A11" i="1" s="1"/>
  <c r="A12" i="1" s="1"/>
  <c r="A14" i="1" s="1"/>
  <c r="A15" i="1" s="1"/>
  <c r="A16" i="1" s="1"/>
  <c r="A17" i="1" s="1"/>
  <c r="A18" i="1" s="1"/>
  <c r="A19" i="1" s="1"/>
  <c r="A21" i="1" s="1"/>
  <c r="A22" i="1" s="1"/>
  <c r="A24" i="1" s="1"/>
  <c r="A25" i="1" s="1"/>
  <c r="A26" i="1" s="1"/>
  <c r="A27" i="1" s="1"/>
  <c r="A29" i="1" s="1"/>
  <c r="A30" i="1" s="1"/>
  <c r="A31" i="1" s="1"/>
  <c r="A32" i="1" s="1"/>
  <c r="D31" i="1"/>
  <c r="E7" i="7"/>
  <c r="D7" i="7"/>
  <c r="E15" i="7"/>
  <c r="D15" i="7"/>
  <c r="D4" i="7"/>
  <c r="F3" i="7"/>
  <c r="G3" i="7" s="1"/>
  <c r="H3" i="7" s="1"/>
  <c r="I3" i="7" s="1"/>
  <c r="J3" i="7"/>
  <c r="K3" i="7" s="1"/>
  <c r="L3" i="7" s="1"/>
  <c r="M3" i="7" s="1"/>
  <c r="N3" i="7" s="1"/>
  <c r="J39" i="1"/>
  <c r="J38" i="1"/>
  <c r="G39" i="1"/>
  <c r="G38" i="1"/>
  <c r="F3" i="1"/>
  <c r="G3" i="1"/>
  <c r="H3" i="1" s="1"/>
  <c r="I3" i="1" s="1"/>
  <c r="J3" i="1" s="1"/>
  <c r="K3" i="1"/>
  <c r="L3" i="1" s="1"/>
  <c r="M3" i="1" s="1"/>
  <c r="N3" i="1" s="1"/>
  <c r="I6" i="1"/>
  <c r="D36" i="1"/>
  <c r="F14" i="1" s="1"/>
  <c r="E6" i="9"/>
  <c r="G6" i="9" s="1"/>
  <c r="D8" i="8"/>
  <c r="G14" i="1"/>
  <c r="H14" i="1" s="1"/>
  <c r="I14" i="1" s="1"/>
  <c r="J14" i="1" s="1"/>
  <c r="K14" i="1" s="1"/>
  <c r="L14" i="1" s="1"/>
  <c r="M14" i="1" s="1"/>
  <c r="N14" i="1" s="1"/>
  <c r="E14" i="1"/>
  <c r="E7" i="9"/>
  <c r="G8" i="1"/>
  <c r="E8" i="1"/>
  <c r="E15" i="1" s="1"/>
  <c r="F8" i="1"/>
  <c r="G7" i="9"/>
  <c r="F15" i="1"/>
  <c r="H8" i="1"/>
  <c r="G15" i="1"/>
  <c r="I8" i="1"/>
  <c r="I15" i="1" s="1"/>
  <c r="H15" i="1"/>
  <c r="J8" i="1"/>
  <c r="K8" i="1" s="1"/>
  <c r="L8" i="1" s="1"/>
  <c r="L15" i="1" s="1"/>
  <c r="J15" i="1"/>
  <c r="M8" i="1"/>
  <c r="N8" i="1" s="1"/>
  <c r="N15" i="1" s="1"/>
  <c r="M15" i="1"/>
  <c r="K15" i="1" l="1"/>
  <c r="J6" i="1"/>
  <c r="E16" i="1"/>
  <c r="F16" i="1" s="1"/>
  <c r="G16" i="1" s="1"/>
  <c r="H16" i="1" s="1"/>
  <c r="I16" i="1" s="1"/>
  <c r="J16" i="1" s="1"/>
  <c r="K16" i="1" s="1"/>
  <c r="L16" i="1" s="1"/>
  <c r="M16" i="1" s="1"/>
  <c r="N16" i="1" s="1"/>
  <c r="G18" i="1"/>
  <c r="H18" i="1" s="1"/>
  <c r="I18" i="1" s="1"/>
  <c r="J18" i="1" s="1"/>
  <c r="K18" i="1" s="1"/>
  <c r="L18" i="1" s="1"/>
  <c r="M18" i="1" s="1"/>
  <c r="N18" i="1" s="1"/>
  <c r="F7" i="4"/>
  <c r="E3" i="4"/>
  <c r="F7" i="8"/>
  <c r="G9" i="9"/>
  <c r="G11" i="9" s="1"/>
  <c r="F10" i="8" l="1"/>
  <c r="E7" i="1"/>
  <c r="F11" i="8"/>
  <c r="E11" i="4"/>
  <c r="F13" i="4"/>
  <c r="F18" i="4"/>
  <c r="F20" i="4"/>
  <c r="F22" i="4"/>
  <c r="F24" i="4"/>
  <c r="F30" i="4"/>
  <c r="F31" i="4"/>
  <c r="F12" i="4"/>
  <c r="F23" i="4"/>
  <c r="F32" i="4"/>
  <c r="E10" i="4"/>
  <c r="F14" i="4"/>
  <c r="F21" i="4"/>
  <c r="F33" i="4"/>
  <c r="F25" i="4"/>
  <c r="F8" i="4"/>
  <c r="K6" i="1"/>
  <c r="F7" i="1" l="1"/>
  <c r="E10" i="1"/>
  <c r="L6" i="1"/>
  <c r="E15" i="4"/>
  <c r="E16" i="4" s="1"/>
  <c r="F12" i="8"/>
  <c r="G14" i="4" l="1"/>
  <c r="G16" i="4"/>
  <c r="G21" i="4"/>
  <c r="G23" i="4"/>
  <c r="G25" i="4"/>
  <c r="E27" i="4"/>
  <c r="G32" i="4"/>
  <c r="G33" i="4"/>
  <c r="G13" i="4"/>
  <c r="F16" i="4"/>
  <c r="G18" i="4"/>
  <c r="G20" i="4"/>
  <c r="G24" i="4"/>
  <c r="G30" i="4"/>
  <c r="G7" i="4"/>
  <c r="G8" i="4"/>
  <c r="G22" i="4"/>
  <c r="G31" i="4"/>
  <c r="G12" i="4"/>
  <c r="G11" i="4"/>
  <c r="G10" i="4"/>
  <c r="E26" i="4"/>
  <c r="G4" i="9"/>
  <c r="G13" i="9" s="1"/>
  <c r="M6" i="1"/>
  <c r="F10" i="1"/>
  <c r="G7" i="1"/>
  <c r="F15" i="4"/>
  <c r="G15" i="4"/>
  <c r="E11" i="1"/>
  <c r="E12" i="1" s="1"/>
  <c r="E19" i="1" s="1"/>
  <c r="E31" i="1" l="1"/>
  <c r="F11" i="1"/>
  <c r="F12" i="1" s="1"/>
  <c r="F19" i="1" s="1"/>
  <c r="N6" i="1"/>
  <c r="G26" i="4"/>
  <c r="E28" i="4"/>
  <c r="F26" i="4"/>
  <c r="H7" i="1"/>
  <c r="G10" i="1"/>
  <c r="E5" i="11"/>
  <c r="G5" i="11" s="1"/>
  <c r="E4" i="10"/>
  <c r="G27" i="4"/>
  <c r="F27" i="4"/>
  <c r="F31" i="1" l="1"/>
  <c r="H10" i="1"/>
  <c r="I7" i="1"/>
  <c r="G28" i="4"/>
  <c r="F28" i="4"/>
  <c r="E35" i="4"/>
  <c r="E7" i="11"/>
  <c r="G7" i="11" s="1"/>
  <c r="F4" i="10"/>
  <c r="G11" i="1"/>
  <c r="G12" i="1" s="1"/>
  <c r="G19" i="1" s="1"/>
  <c r="G31" i="1" l="1"/>
  <c r="G35" i="4"/>
  <c r="E6" i="11"/>
  <c r="E6" i="10"/>
  <c r="C31" i="1"/>
  <c r="F35" i="4"/>
  <c r="G6" i="11"/>
  <c r="G8" i="11" s="1"/>
  <c r="H11" i="1"/>
  <c r="H12" i="1" s="1"/>
  <c r="H19" i="1" s="1"/>
  <c r="I10" i="1"/>
  <c r="J7" i="1"/>
  <c r="H31" i="1" l="1"/>
  <c r="E9" i="11"/>
  <c r="E21" i="1" s="1"/>
  <c r="E10" i="11"/>
  <c r="I12" i="1"/>
  <c r="I19" i="1" s="1"/>
  <c r="I11" i="1"/>
  <c r="F6" i="10"/>
  <c r="E8" i="10"/>
  <c r="K7" i="1"/>
  <c r="J10" i="1"/>
  <c r="E11" i="11"/>
  <c r="C29" i="1" s="1"/>
  <c r="K10" i="1" l="1"/>
  <c r="L7" i="1"/>
  <c r="I31" i="1"/>
  <c r="C4" i="7"/>
  <c r="J11" i="1"/>
  <c r="J12" i="1" s="1"/>
  <c r="J19" i="1" s="1"/>
  <c r="F8" i="10"/>
  <c r="E9" i="10"/>
  <c r="F21" i="1"/>
  <c r="E22" i="1"/>
  <c r="E29" i="1" s="1"/>
  <c r="E4" i="7" s="1"/>
  <c r="J24" i="1" l="1"/>
  <c r="J31" i="1"/>
  <c r="M7" i="1"/>
  <c r="L10" i="1"/>
  <c r="G21" i="1"/>
  <c r="F22" i="1"/>
  <c r="F29" i="1" s="1"/>
  <c r="F4" i="7" s="1"/>
  <c r="D9" i="7"/>
  <c r="E9" i="7" s="1"/>
  <c r="J7" i="7"/>
  <c r="O7" i="7" s="1"/>
  <c r="C15" i="7"/>
  <c r="K12" i="1"/>
  <c r="K19" i="1" s="1"/>
  <c r="K11" i="1"/>
  <c r="K31" i="1" l="1"/>
  <c r="H21" i="1"/>
  <c r="G22" i="1"/>
  <c r="G29" i="1" s="1"/>
  <c r="N7" i="1"/>
  <c r="N10" i="1" s="1"/>
  <c r="M10" i="1"/>
  <c r="F6" i="7"/>
  <c r="L11" i="1"/>
  <c r="L12" i="1" s="1"/>
  <c r="L19" i="1" s="1"/>
  <c r="K21" i="1"/>
  <c r="L21" i="1" s="1"/>
  <c r="M21" i="1" s="1"/>
  <c r="N21" i="1" s="1"/>
  <c r="N26" i="1" s="1"/>
  <c r="J25" i="1"/>
  <c r="L31" i="1" l="1"/>
  <c r="L22" i="1"/>
  <c r="L29" i="1" s="1"/>
  <c r="L4" i="7" s="1"/>
  <c r="L12" i="7" s="1"/>
  <c r="M12" i="1"/>
  <c r="M19" i="1" s="1"/>
  <c r="M11" i="1"/>
  <c r="G4" i="7"/>
  <c r="F7" i="7"/>
  <c r="F15" i="7"/>
  <c r="N12" i="1"/>
  <c r="N19" i="1" s="1"/>
  <c r="N11" i="1"/>
  <c r="I21" i="1"/>
  <c r="H22" i="1"/>
  <c r="H29" i="1" s="1"/>
  <c r="H4" i="7" s="1"/>
  <c r="H6" i="7" s="1"/>
  <c r="H15" i="7" s="1"/>
  <c r="K22" i="1"/>
  <c r="K29" i="1" s="1"/>
  <c r="K4" i="7" s="1"/>
  <c r="K12" i="7" s="1"/>
  <c r="K13" i="7" l="1"/>
  <c r="K15" i="7" s="1"/>
  <c r="J21" i="1"/>
  <c r="I22" i="1"/>
  <c r="I29" i="1" s="1"/>
  <c r="I4" i="7" s="1"/>
  <c r="I6" i="7" s="1"/>
  <c r="I15" i="7" s="1"/>
  <c r="N22" i="1"/>
  <c r="N24" i="1"/>
  <c r="F9" i="7"/>
  <c r="G6" i="7"/>
  <c r="G15" i="7" s="1"/>
  <c r="M22" i="1"/>
  <c r="M29" i="1" s="1"/>
  <c r="M4" i="7" s="1"/>
  <c r="M12" i="7" s="1"/>
  <c r="M31" i="1"/>
  <c r="L13" i="7"/>
  <c r="L15" i="7" s="1"/>
  <c r="N31" i="1" l="1"/>
  <c r="C32" i="1" s="1"/>
  <c r="N25" i="1"/>
  <c r="N27" i="1" s="1"/>
  <c r="N29" i="1" s="1"/>
  <c r="L18" i="7"/>
  <c r="M18" i="7"/>
  <c r="M13" i="7"/>
  <c r="M15" i="7" s="1"/>
  <c r="G7" i="7"/>
  <c r="H7" i="7" s="1"/>
  <c r="I7" i="7" s="1"/>
  <c r="J6" i="7" s="1"/>
  <c r="J26" i="1"/>
  <c r="J27" i="1" s="1"/>
  <c r="J22" i="1"/>
  <c r="K18" i="7"/>
  <c r="N4" i="7" l="1"/>
  <c r="N12" i="7" s="1"/>
  <c r="C30" i="1"/>
  <c r="G9" i="7"/>
  <c r="H9" i="7" s="1"/>
  <c r="I9" i="7" s="1"/>
  <c r="J9" i="7" s="1"/>
  <c r="J29" i="1"/>
  <c r="J4" i="7" s="1"/>
  <c r="J10" i="7" l="1"/>
  <c r="J12" i="7"/>
  <c r="O4" i="7"/>
  <c r="N13" i="7"/>
  <c r="N15" i="7" s="1"/>
  <c r="J13" i="7" l="1"/>
  <c r="O13" i="7" s="1"/>
  <c r="J18" i="7"/>
  <c r="O12" i="7"/>
  <c r="N18" i="7"/>
  <c r="O10" i="7"/>
  <c r="C20" i="7" s="1"/>
  <c r="J15" i="7"/>
  <c r="C16" i="7" l="1"/>
  <c r="O15" i="7"/>
  <c r="O18" i="7"/>
  <c r="C21" i="7" s="1"/>
  <c r="C26" i="7" s="1"/>
  <c r="C22" i="7"/>
</calcChain>
</file>

<file path=xl/sharedStrings.xml><?xml version="1.0" encoding="utf-8"?>
<sst xmlns="http://schemas.openxmlformats.org/spreadsheetml/2006/main" count="186" uniqueCount="168">
  <si>
    <t>Income Growth Rate</t>
  </si>
  <si>
    <t>Expense Growth Rate</t>
  </si>
  <si>
    <t>Recoverable Expenses</t>
  </si>
  <si>
    <t>Total Gross Revenue</t>
  </si>
  <si>
    <t>Effective Gross Revenue</t>
  </si>
  <si>
    <t>(Less) Nonrecoverable Expenses</t>
  </si>
  <si>
    <t>(Less) Recoverable Expenses</t>
  </si>
  <si>
    <t>(Less) Marketing Costs</t>
  </si>
  <si>
    <t>(Less) Releasing Costs</t>
  </si>
  <si>
    <t>Net Operating Income</t>
  </si>
  <si>
    <t>(Less) Debt Service</t>
  </si>
  <si>
    <t>Gross Sale/Refinance Proceeds</t>
  </si>
  <si>
    <t>(Less) Loan Balance</t>
  </si>
  <si>
    <t>Net Sale/Refinance Proceeds</t>
  </si>
  <si>
    <t>Gross Scheduled Annual Income</t>
  </si>
  <si>
    <t>(Less) Total Development Costs</t>
  </si>
  <si>
    <t>Year 1</t>
  </si>
  <si>
    <t>Year 2</t>
  </si>
  <si>
    <t>Year 3</t>
  </si>
  <si>
    <t>Year 4</t>
  </si>
  <si>
    <t>After Year 3</t>
  </si>
  <si>
    <t>Year 5</t>
  </si>
  <si>
    <t>Tenant Improvements</t>
  </si>
  <si>
    <t>Subtotal</t>
  </si>
  <si>
    <t>DIRECT</t>
  </si>
  <si>
    <t>Overhead</t>
  </si>
  <si>
    <t>INDIRECT</t>
  </si>
  <si>
    <t>Impact Fees</t>
  </si>
  <si>
    <t>Long Range Planning Fees</t>
  </si>
  <si>
    <t>School Fees</t>
  </si>
  <si>
    <t>Water District Fees</t>
  </si>
  <si>
    <t>Insurance</t>
  </si>
  <si>
    <t>FINANCING</t>
  </si>
  <si>
    <t>TOTAL DEVELOPMENT COSTS</t>
  </si>
  <si>
    <t>Design and Engineering</t>
  </si>
  <si>
    <t>Building Construction</t>
  </si>
  <si>
    <t>(Less) Closing Costs at 2.5%</t>
  </si>
  <si>
    <t>(REFINANCE)</t>
  </si>
  <si>
    <t>(SALE)</t>
  </si>
  <si>
    <t xml:space="preserve">    Major A</t>
  </si>
  <si>
    <t xml:space="preserve">    Major B</t>
  </si>
  <si>
    <t xml:space="preserve">    Less Vacancy/Collection Loss</t>
  </si>
  <si>
    <t>Construction Interest/Other Financing</t>
  </si>
  <si>
    <t>stabilized year</t>
  </si>
  <si>
    <t>Year 6</t>
  </si>
  <si>
    <t>Year 7</t>
  </si>
  <si>
    <t>After 7</t>
  </si>
  <si>
    <t>Loan Amount</t>
  </si>
  <si>
    <t>Income and Expense Growth Assumptions</t>
  </si>
  <si>
    <t>Year---&gt;</t>
  </si>
  <si>
    <t>Marketing in first three years included in Development Costs</t>
  </si>
  <si>
    <t>Nonrecoverable Expenses</t>
  </si>
  <si>
    <t>Construction</t>
  </si>
  <si>
    <t>capital returned</t>
  </si>
  <si>
    <t>preferred return paid</t>
  </si>
  <si>
    <t>TOTALS</t>
  </si>
  <si>
    <t>Total payments to equity investors</t>
  </si>
  <si>
    <t>Total Returned</t>
  </si>
  <si>
    <t xml:space="preserve">Notes: </t>
  </si>
  <si>
    <t>IRR on Project (unleveraged)</t>
  </si>
  <si>
    <t>Total Base Rental Revenues</t>
  </si>
  <si>
    <t>Operating Cash Flow</t>
  </si>
  <si>
    <t>Contingency on Indirects</t>
  </si>
  <si>
    <t>Contingency on Construction</t>
  </si>
  <si>
    <t>Base Rents</t>
  </si>
  <si>
    <t>Participation Rents</t>
  </si>
  <si>
    <t>(Major B opens in year 2)</t>
  </si>
  <si>
    <t>Development Fees and Exactions</t>
  </si>
  <si>
    <t>Marketing Costs</t>
  </si>
  <si>
    <t>Total payments to developer</t>
  </si>
  <si>
    <t>(includes return of capital)</t>
  </si>
  <si>
    <t>(does not include return on co-investment, which is 10% of payments to equity investors)</t>
  </si>
  <si>
    <t>Total Cash Flow</t>
  </si>
  <si>
    <t>Leveraged Cash Flow</t>
  </si>
  <si>
    <t>------------------------------------------------&gt;</t>
  </si>
  <si>
    <t>RETURN CALCULATIONS</t>
  </si>
  <si>
    <t>Initial investment and rate of return</t>
  </si>
  <si>
    <t>Leasable area</t>
  </si>
  <si>
    <t>Common Area Maintenance (CAM)</t>
  </si>
  <si>
    <t>of line shops' rent and CAM</t>
  </si>
  <si>
    <t>Effective Gross Income (from Table 1)</t>
  </si>
  <si>
    <t>Figure 2-14</t>
  </si>
  <si>
    <t>Figure 2-12</t>
  </si>
  <si>
    <t>Figure 2-15</t>
  </si>
  <si>
    <t>Figure 2-13</t>
  </si>
  <si>
    <t>Figure 2-17</t>
  </si>
  <si>
    <t>Figure 2-16</t>
  </si>
  <si>
    <t>Figure 2-11</t>
  </si>
  <si>
    <t>Effective Gross Income</t>
  </si>
  <si>
    <t>Operating Expenses</t>
  </si>
  <si>
    <r>
      <t>Sq</t>
    </r>
    <r>
      <rPr>
        <sz val="12"/>
        <rFont val="Times New Roman"/>
      </rPr>
      <t>.</t>
    </r>
    <r>
      <rPr>
        <sz val="12"/>
        <rFont val="Times New Roman"/>
      </rPr>
      <t xml:space="preserve"> Ft</t>
    </r>
    <r>
      <rPr>
        <sz val="12"/>
        <rFont val="Times New Roman"/>
      </rPr>
      <t>.</t>
    </r>
  </si>
  <si>
    <t>Revenue</t>
  </si>
  <si>
    <t>Hypothetical Project: Development Cost Estimate</t>
  </si>
  <si>
    <t>Hypothetical Project: Calculation of Net Operating Income</t>
  </si>
  <si>
    <t>Sq. Ft.</t>
  </si>
  <si>
    <r>
      <t>Replacement</t>
    </r>
    <r>
      <rPr>
        <sz val="12"/>
        <rFont val="Times New Roman"/>
      </rPr>
      <t xml:space="preserve"> R</t>
    </r>
    <r>
      <rPr>
        <sz val="12"/>
        <rFont val="Times New Roman"/>
      </rPr>
      <t>eserves</t>
    </r>
  </si>
  <si>
    <t>Total Annual Expenses</t>
  </si>
  <si>
    <t>Hypothetical Project: Surplus/Gap Analysis</t>
  </si>
  <si>
    <r>
      <t xml:space="preserve">Supported Investment at </t>
    </r>
    <r>
      <rPr>
        <sz val="12"/>
        <rFont val="Times New Roman"/>
      </rPr>
      <t>C</t>
    </r>
    <r>
      <rPr>
        <sz val="12"/>
        <rFont val="Times New Roman"/>
      </rPr>
      <t xml:space="preserve">ap </t>
    </r>
    <r>
      <rPr>
        <sz val="12"/>
        <rFont val="Times New Roman"/>
      </rPr>
      <t>R</t>
    </r>
    <r>
      <rPr>
        <sz val="12"/>
        <rFont val="Times New Roman"/>
      </rPr>
      <t>ate of</t>
    </r>
  </si>
  <si>
    <t>Hypothetical Project: Project Loan and Equity Funding</t>
  </si>
  <si>
    <t>Loan Amortization Period (Years)</t>
  </si>
  <si>
    <t>Supported Debt Based on DCR of</t>
  </si>
  <si>
    <t>Supported Debt Based on LTC of</t>
  </si>
  <si>
    <t>Suppored Debt Based on LTV of</t>
  </si>
  <si>
    <t>Lesser of DCR or LTC or LTV = Supported Debt</t>
  </si>
  <si>
    <t>Annual Debt Service on Supported Debt</t>
  </si>
  <si>
    <t>Equity Investment and Developer Capital to Finance Remaining Costs</t>
  </si>
  <si>
    <r>
      <t xml:space="preserve">Ratio </t>
    </r>
    <r>
      <rPr>
        <sz val="12"/>
        <rFont val="Times New Roman"/>
      </rPr>
      <t>A</t>
    </r>
    <r>
      <rPr>
        <sz val="12"/>
        <rFont val="Times New Roman"/>
      </rPr>
      <t>pplied to</t>
    </r>
  </si>
  <si>
    <t xml:space="preserve">Share of Costs Financed with Debt </t>
  </si>
  <si>
    <t>Hypothetical Project: Project Cash Flow and IRR</t>
  </si>
  <si>
    <r>
      <t xml:space="preserve">Participation </t>
    </r>
    <r>
      <rPr>
        <sz val="12"/>
        <rFont val="Times New Roman"/>
      </rPr>
      <t>R</t>
    </r>
    <r>
      <rPr>
        <sz val="12"/>
        <rFont val="Times New Roman"/>
      </rPr>
      <t>ents</t>
    </r>
  </si>
  <si>
    <r>
      <t>Vacancy/</t>
    </r>
    <r>
      <rPr>
        <sz val="12"/>
        <rFont val="Times New Roman"/>
      </rPr>
      <t>D</t>
    </r>
    <r>
      <rPr>
        <sz val="12"/>
        <rFont val="Times New Roman"/>
      </rPr>
      <t>elinquency</t>
    </r>
    <r>
      <rPr>
        <sz val="12"/>
        <rFont val="Times New Roman"/>
      </rPr>
      <t>,</t>
    </r>
    <r>
      <rPr>
        <sz val="12"/>
        <rFont val="Times New Roman"/>
      </rPr>
      <t xml:space="preserve"> </t>
    </r>
    <r>
      <rPr>
        <sz val="12"/>
        <rFont val="Times New Roman"/>
      </rPr>
      <t>L</t>
    </r>
    <r>
      <rPr>
        <sz val="12"/>
        <rFont val="Times New Roman"/>
      </rPr>
      <t xml:space="preserve">ine </t>
    </r>
    <r>
      <rPr>
        <sz val="12"/>
        <rFont val="Times New Roman"/>
      </rPr>
      <t>S</t>
    </r>
    <r>
      <rPr>
        <sz val="12"/>
        <rFont val="Times New Roman"/>
      </rPr>
      <t>hops</t>
    </r>
  </si>
  <si>
    <r>
      <t>(Less) Vacancy</t>
    </r>
    <r>
      <rPr>
        <sz val="12"/>
        <rFont val="Times New Roman"/>
      </rPr>
      <t>,</t>
    </r>
    <r>
      <rPr>
        <sz val="12"/>
        <rFont val="Times New Roman"/>
      </rPr>
      <t xml:space="preserve"> </t>
    </r>
    <r>
      <rPr>
        <sz val="12"/>
        <rFont val="Times New Roman"/>
      </rPr>
      <t>L</t>
    </r>
    <r>
      <rPr>
        <sz val="12"/>
        <rFont val="Times New Roman"/>
      </rPr>
      <t xml:space="preserve">ine and </t>
    </r>
    <r>
      <rPr>
        <sz val="12"/>
        <rFont val="Times New Roman"/>
      </rPr>
      <t>M</t>
    </r>
    <r>
      <rPr>
        <sz val="12"/>
        <rFont val="Times New Roman"/>
      </rPr>
      <t>ajors</t>
    </r>
  </si>
  <si>
    <r>
      <t>(Less) Major Maintence R</t>
    </r>
    <r>
      <rPr>
        <sz val="12"/>
        <rFont val="Times New Roman"/>
      </rPr>
      <t>e</t>
    </r>
    <r>
      <rPr>
        <sz val="12"/>
        <rFont val="Times New Roman"/>
      </rPr>
      <t>s</t>
    </r>
    <r>
      <rPr>
        <sz val="12"/>
        <rFont val="Times New Roman"/>
      </rPr>
      <t>e</t>
    </r>
    <r>
      <rPr>
        <sz val="12"/>
        <rFont val="Times New Roman"/>
      </rPr>
      <t>rv</t>
    </r>
    <r>
      <rPr>
        <sz val="12"/>
        <rFont val="Times New Roman"/>
      </rPr>
      <t>e</t>
    </r>
  </si>
  <si>
    <t>Unleveraged Cash Flow</t>
  </si>
  <si>
    <t>IRR on Equity (Leveraged)</t>
  </si>
  <si>
    <t>Note: Based on 60,000 square feet of leaseable area.</t>
  </si>
  <si>
    <t>Sale at year 10 based on a cap rate 1% higher than current cap rate</t>
  </si>
  <si>
    <r>
      <t xml:space="preserve">Releasing costs based on 25% turnover every </t>
    </r>
    <r>
      <rPr>
        <sz val="12"/>
        <rFont val="Times New Roman"/>
      </rPr>
      <t>five</t>
    </r>
    <r>
      <rPr>
        <sz val="12"/>
        <rFont val="Times New Roman"/>
      </rPr>
      <t xml:space="preserve"> years</t>
    </r>
  </si>
  <si>
    <t>Recoverable Operating Expense</t>
  </si>
  <si>
    <t>Base Rents Per Sq. Ft.</t>
  </si>
  <si>
    <t>Hypothetical Project: Project Return to Equity Investment and Developer</t>
  </si>
  <si>
    <t>Annual Payment</t>
  </si>
  <si>
    <t>Preferred Return Obligation</t>
  </si>
  <si>
    <t>Repayment of Preferred Return Obligation</t>
  </si>
  <si>
    <t>Return to Equity from Promotional Return</t>
  </si>
  <si>
    <r>
      <t xml:space="preserve">Promotional </t>
    </r>
    <r>
      <rPr>
        <sz val="12"/>
        <rFont val="Times New Roman"/>
      </rPr>
      <t>R</t>
    </r>
    <r>
      <rPr>
        <sz val="12"/>
        <rFont val="Times New Roman"/>
      </rPr>
      <t xml:space="preserve">eturn </t>
    </r>
    <r>
      <rPr>
        <sz val="12"/>
        <rFont val="Times New Roman"/>
      </rPr>
      <t>A</t>
    </r>
    <r>
      <rPr>
        <sz val="12"/>
        <rFont val="Times New Roman"/>
      </rPr>
      <t xml:space="preserve">vailable for </t>
    </r>
    <r>
      <rPr>
        <sz val="12"/>
        <rFont val="Times New Roman"/>
      </rPr>
      <t>D</t>
    </r>
    <r>
      <rPr>
        <sz val="12"/>
        <rFont val="Times New Roman"/>
      </rPr>
      <t>istribution</t>
    </r>
  </si>
  <si>
    <r>
      <t xml:space="preserve">50% of </t>
    </r>
    <r>
      <rPr>
        <sz val="12"/>
        <rFont val="Times New Roman"/>
      </rPr>
      <t>F</t>
    </r>
    <r>
      <rPr>
        <sz val="12"/>
        <rFont val="Times New Roman"/>
      </rPr>
      <t xml:space="preserve">irst $200,000 </t>
    </r>
    <r>
      <rPr>
        <sz val="12"/>
        <rFont val="Times New Roman"/>
      </rPr>
      <t>P</t>
    </r>
    <r>
      <rPr>
        <sz val="12"/>
        <rFont val="Times New Roman"/>
      </rPr>
      <t xml:space="preserve">er </t>
    </r>
    <r>
      <rPr>
        <sz val="12"/>
        <rFont val="Times New Roman"/>
      </rPr>
      <t>Y</t>
    </r>
    <r>
      <rPr>
        <sz val="12"/>
        <rFont val="Times New Roman"/>
      </rPr>
      <t xml:space="preserve">ear and 30% of </t>
    </r>
    <r>
      <rPr>
        <sz val="12"/>
        <rFont val="Times New Roman"/>
      </rPr>
      <t>R</t>
    </r>
    <r>
      <rPr>
        <sz val="12"/>
        <rFont val="Times New Roman"/>
      </rPr>
      <t>emainder</t>
    </r>
  </si>
  <si>
    <t>Total Payments to Equity Investors</t>
  </si>
  <si>
    <r>
      <t xml:space="preserve">Total IRR to </t>
    </r>
    <r>
      <rPr>
        <sz val="12"/>
        <rFont val="Times New Roman"/>
      </rPr>
      <t>E</t>
    </r>
    <r>
      <rPr>
        <sz val="12"/>
        <rFont val="Times New Roman"/>
      </rPr>
      <t xml:space="preserve">quity </t>
    </r>
    <r>
      <rPr>
        <sz val="12"/>
        <rFont val="Times New Roman"/>
      </rPr>
      <t>I</t>
    </r>
    <r>
      <rPr>
        <sz val="12"/>
        <rFont val="Times New Roman"/>
      </rPr>
      <t>nvestors</t>
    </r>
  </si>
  <si>
    <t>Distribution to Developer of Remaining Promote</t>
  </si>
  <si>
    <t>First-year negative cash flow is funded with equity.</t>
  </si>
  <si>
    <t>Totals do not include equity investment or first-year negative cash flow.</t>
  </si>
  <si>
    <t>Hypothetical Project: Retail Revenue Estimate, Stabilized Year 3</t>
  </si>
  <si>
    <t>Annual Revenue ($)</t>
  </si>
  <si>
    <t>Leasable Sq. Ft.</t>
  </si>
  <si>
    <t>Land Area at $12 Per Sq. Ft.</t>
  </si>
  <si>
    <t>Rental Rate ($/Sq. Ft. or % Participation)</t>
  </si>
  <si>
    <t xml:space="preserve">    In-Line Shops</t>
  </si>
  <si>
    <r>
      <t xml:space="preserve">Acquisition (Land </t>
    </r>
    <r>
      <rPr>
        <sz val="12"/>
        <rFont val="Times New Roman"/>
      </rPr>
      <t>and</t>
    </r>
    <r>
      <rPr>
        <sz val="12"/>
        <rFont val="Times New Roman"/>
      </rPr>
      <t xml:space="preserve"> Improvements)</t>
    </r>
  </si>
  <si>
    <r>
      <t xml:space="preserve">Parking (240 </t>
    </r>
    <r>
      <rPr>
        <sz val="12"/>
        <rFont val="Times New Roman"/>
      </rPr>
      <t>S</t>
    </r>
    <r>
      <rPr>
        <sz val="12"/>
        <rFont val="Times New Roman"/>
      </rPr>
      <t>talls @ $3,500)</t>
    </r>
  </si>
  <si>
    <r>
      <t xml:space="preserve">Municipal Fees </t>
    </r>
    <r>
      <rPr>
        <sz val="12"/>
        <rFont val="Times New Roman"/>
      </rPr>
      <t>and</t>
    </r>
    <r>
      <rPr>
        <sz val="12"/>
        <rFont val="Times New Roman"/>
      </rPr>
      <t xml:space="preserve"> Permits</t>
    </r>
  </si>
  <si>
    <r>
      <t xml:space="preserve">Legal and </t>
    </r>
    <r>
      <rPr>
        <sz val="12"/>
        <rFont val="Times New Roman"/>
      </rPr>
      <t>F</t>
    </r>
    <r>
      <rPr>
        <sz val="12"/>
        <rFont val="Times New Roman"/>
      </rPr>
      <t xml:space="preserve">inancing </t>
    </r>
    <r>
      <rPr>
        <sz val="12"/>
        <rFont val="Times New Roman"/>
      </rPr>
      <t>F</t>
    </r>
    <r>
      <rPr>
        <sz val="12"/>
        <rFont val="Times New Roman"/>
      </rPr>
      <t>ees</t>
    </r>
  </si>
  <si>
    <r>
      <t xml:space="preserve">Marketing </t>
    </r>
    <r>
      <rPr>
        <sz val="12"/>
        <rFont val="Times New Roman"/>
      </rPr>
      <t>and</t>
    </r>
    <r>
      <rPr>
        <sz val="12"/>
        <rFont val="Times New Roman"/>
      </rPr>
      <t xml:space="preserve"> Leasing</t>
    </r>
  </si>
  <si>
    <r>
      <t>Lease</t>
    </r>
    <r>
      <rPr>
        <sz val="12"/>
        <rFont val="Times New Roman"/>
      </rPr>
      <t>-U</t>
    </r>
    <r>
      <rPr>
        <sz val="12"/>
        <rFont val="Times New Roman"/>
      </rPr>
      <t xml:space="preserve">p </t>
    </r>
    <r>
      <rPr>
        <sz val="12"/>
        <rFont val="Times New Roman"/>
      </rPr>
      <t>R</t>
    </r>
    <r>
      <rPr>
        <sz val="12"/>
        <rFont val="Times New Roman"/>
      </rPr>
      <t>eserve</t>
    </r>
  </si>
  <si>
    <t>a. Allocation based on leasable square feet.</t>
  </si>
  <si>
    <r>
      <t>ACQUISITION/LAND DEVELOPMENT</t>
    </r>
    <r>
      <rPr>
        <b/>
        <vertAlign val="superscript"/>
        <sz val="12"/>
        <rFont val="Times New Roman"/>
        <family val="1"/>
      </rPr>
      <t>a</t>
    </r>
  </si>
  <si>
    <r>
      <t xml:space="preserve">Re-leasing Costs </t>
    </r>
    <r>
      <rPr>
        <sz val="8"/>
        <rFont val="Times New Roman"/>
        <family val="1"/>
      </rPr>
      <t>(25% of in-line every five years</t>
    </r>
    <r>
      <rPr>
        <sz val="9"/>
        <rFont val="Times New Roman"/>
        <family val="1"/>
      </rPr>
      <t>)</t>
    </r>
  </si>
  <si>
    <t>Surplus / (Gap)</t>
  </si>
  <si>
    <t>Market Interest Rate on Debt</t>
  </si>
  <si>
    <t>NOI from figure 2-13</t>
  </si>
  <si>
    <t>Project Costs from figure 2-12</t>
  </si>
  <si>
    <t>Supported Investment from figure 2-14</t>
  </si>
  <si>
    <t>Nonrecoverable Operating Expense</t>
  </si>
  <si>
    <t>Return of Capital</t>
  </si>
  <si>
    <t>Preferred Return</t>
  </si>
  <si>
    <t>Notes:</t>
  </si>
  <si>
    <t>Total return to developer:</t>
  </si>
  <si>
    <t>Total distribution of OCF</t>
  </si>
  <si>
    <t>5% over $300/sq. ft.</t>
  </si>
  <si>
    <t xml:space="preserve"> Share of Direct Cost (%)</t>
  </si>
  <si>
    <t>Land Development and Offsites</t>
  </si>
  <si>
    <r>
      <t>Total</t>
    </r>
    <r>
      <rPr>
        <sz val="12"/>
        <rFont val="Times New Roman"/>
      </rPr>
      <t xml:space="preserve"> Cost ($)</t>
    </r>
  </si>
  <si>
    <t>Cost Per Sq. Ft. ($)</t>
  </si>
  <si>
    <t>Total Cost ($)</t>
  </si>
  <si>
    <r>
      <t>Cost Per Sq. Ft.</t>
    </r>
    <r>
      <rPr>
        <sz val="12"/>
        <rFont val="Times New Roman"/>
      </rPr>
      <t xml:space="preserve"> ($)</t>
    </r>
  </si>
  <si>
    <r>
      <rPr>
        <sz val="12"/>
        <rFont val="Times New Roman"/>
      </rPr>
      <t>S</t>
    </r>
    <r>
      <rPr>
        <sz val="12"/>
        <rFont val="Times New Roman"/>
      </rPr>
      <t>ee assumptions below</t>
    </r>
  </si>
  <si>
    <t>% Surplus/ (Gap) Share of Development Costs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</si>
</sst>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&quot;$&quot;#,##0.00"/>
    <numFmt numFmtId="168" formatCode="_(&quot;$&quot;* #,##0_);_(&quot;$&quot;* \(#,##0\);_(&quot;$&quot;* &quot;-&quot;??_);_(@_)"/>
  </numFmts>
  <fonts count="23" x14ac:knownFonts="1">
    <font>
      <sz val="12"/>
      <name val="Times New Roman"/>
    </font>
    <font>
      <sz val="12"/>
      <name val="Times New Roman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u/>
      <sz val="12"/>
      <color theme="10"/>
      <name val="Times New Roman"/>
    </font>
    <font>
      <u/>
      <sz val="12"/>
      <color theme="11"/>
      <name val="Times New Roman"/>
    </font>
    <font>
      <b/>
      <sz val="12"/>
      <color rgb="FFFF0000"/>
      <name val="Times New Roman"/>
      <charset val="204"/>
    </font>
    <font>
      <b/>
      <vertAlign val="superscript"/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0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34">
    <xf numFmtId="0" fontId="0" fillId="0" borderId="0" xfId="0"/>
    <xf numFmtId="164" fontId="0" fillId="0" borderId="0" xfId="1" applyNumberFormat="1" applyFont="1"/>
    <xf numFmtId="7" fontId="0" fillId="0" borderId="0" xfId="0" applyNumberFormat="1"/>
    <xf numFmtId="165" fontId="0" fillId="0" borderId="0" xfId="4" applyNumberFormat="1" applyFont="1"/>
    <xf numFmtId="7" fontId="0" fillId="0" borderId="0" xfId="1" applyNumberFormat="1" applyFont="1"/>
    <xf numFmtId="7" fontId="2" fillId="0" borderId="0" xfId="0" applyNumberFormat="1" applyFont="1"/>
    <xf numFmtId="43" fontId="0" fillId="0" borderId="0" xfId="1" applyFont="1"/>
    <xf numFmtId="166" fontId="0" fillId="0" borderId="0" xfId="1" applyNumberFormat="1" applyFont="1"/>
    <xf numFmtId="167" fontId="0" fillId="0" borderId="0" xfId="1" applyNumberFormat="1" applyFont="1"/>
    <xf numFmtId="43" fontId="2" fillId="0" borderId="0" xfId="1" applyFont="1"/>
    <xf numFmtId="164" fontId="0" fillId="0" borderId="0" xfId="1" applyNumberFormat="1" applyFont="1" applyBorder="1"/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5" fontId="4" fillId="0" borderId="0" xfId="0" applyNumberFormat="1" applyFont="1"/>
    <xf numFmtId="5" fontId="4" fillId="0" borderId="0" xfId="0" applyNumberFormat="1" applyFont="1" applyBorder="1"/>
    <xf numFmtId="5" fontId="4" fillId="0" borderId="1" xfId="0" applyNumberFormat="1" applyFont="1" applyBorder="1"/>
    <xf numFmtId="5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1" applyNumberFormat="1" applyFont="1"/>
    <xf numFmtId="7" fontId="4" fillId="0" borderId="0" xfId="0" applyNumberFormat="1" applyFont="1"/>
    <xf numFmtId="0" fontId="4" fillId="0" borderId="0" xfId="0" applyFont="1" applyAlignment="1">
      <alignment horizontal="right"/>
    </xf>
    <xf numFmtId="9" fontId="4" fillId="0" borderId="0" xfId="1" applyNumberFormat="1" applyFont="1"/>
    <xf numFmtId="5" fontId="4" fillId="0" borderId="0" xfId="0" applyNumberFormat="1" applyFont="1" applyAlignment="1">
      <alignment horizontal="right"/>
    </xf>
    <xf numFmtId="164" fontId="5" fillId="0" borderId="0" xfId="1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3" fillId="0" borderId="0" xfId="0" applyNumberFormat="1" applyFont="1"/>
    <xf numFmtId="0" fontId="5" fillId="0" borderId="0" xfId="0" applyFont="1"/>
    <xf numFmtId="5" fontId="5" fillId="0" borderId="0" xfId="0" applyNumberFormat="1" applyFont="1"/>
    <xf numFmtId="5" fontId="5" fillId="0" borderId="0" xfId="0" applyNumberFormat="1" applyFont="1" applyBorder="1"/>
    <xf numFmtId="165" fontId="5" fillId="0" borderId="0" xfId="0" applyNumberFormat="1" applyFont="1" applyBorder="1"/>
    <xf numFmtId="7" fontId="4" fillId="0" borderId="0" xfId="1" applyNumberFormat="1" applyFont="1" applyBorder="1"/>
    <xf numFmtId="7" fontId="3" fillId="0" borderId="0" xfId="0" applyNumberFormat="1" applyFont="1"/>
    <xf numFmtId="7" fontId="5" fillId="0" borderId="0" xfId="0" applyNumberFormat="1" applyFont="1" applyBorder="1"/>
    <xf numFmtId="0" fontId="5" fillId="0" borderId="0" xfId="1" applyNumberFormat="1" applyFont="1" applyBorder="1" applyAlignment="1">
      <alignment horizontal="center"/>
    </xf>
    <xf numFmtId="5" fontId="5" fillId="0" borderId="4" xfId="0" applyNumberFormat="1" applyFont="1" applyBorder="1"/>
    <xf numFmtId="7" fontId="3" fillId="0" borderId="0" xfId="0" applyNumberFormat="1" applyFont="1" applyBorder="1"/>
    <xf numFmtId="7" fontId="6" fillId="0" borderId="0" xfId="0" applyNumberFormat="1" applyFont="1"/>
    <xf numFmtId="9" fontId="4" fillId="0" borderId="0" xfId="4" applyFont="1" applyAlignment="1">
      <alignment horizontal="left"/>
    </xf>
    <xf numFmtId="7" fontId="7" fillId="0" borderId="0" xfId="0" applyNumberFormat="1" applyFont="1"/>
    <xf numFmtId="165" fontId="4" fillId="0" borderId="0" xfId="4" applyNumberFormat="1" applyFont="1" applyBorder="1"/>
    <xf numFmtId="5" fontId="4" fillId="0" borderId="0" xfId="1" applyNumberFormat="1" applyFont="1" applyBorder="1"/>
    <xf numFmtId="164" fontId="4" fillId="0" borderId="0" xfId="1" applyNumberFormat="1" applyFont="1" applyBorder="1"/>
    <xf numFmtId="0" fontId="4" fillId="0" borderId="5" xfId="1" applyNumberFormat="1" applyFont="1" applyBorder="1" applyAlignment="1">
      <alignment horizontal="center"/>
    </xf>
    <xf numFmtId="0" fontId="3" fillId="0" borderId="5" xfId="1" applyNumberFormat="1" applyFont="1" applyBorder="1" applyAlignment="1">
      <alignment horizontal="center"/>
    </xf>
    <xf numFmtId="7" fontId="3" fillId="0" borderId="5" xfId="0" applyNumberFormat="1" applyFont="1" applyBorder="1"/>
    <xf numFmtId="164" fontId="5" fillId="0" borderId="5" xfId="0" applyNumberFormat="1" applyFont="1" applyBorder="1"/>
    <xf numFmtId="7" fontId="4" fillId="0" borderId="5" xfId="0" applyNumberFormat="1" applyFont="1" applyBorder="1"/>
    <xf numFmtId="5" fontId="5" fillId="0" borderId="0" xfId="0" applyNumberFormat="1" applyFont="1" applyAlignment="1">
      <alignment horizontal="center"/>
    </xf>
    <xf numFmtId="0" fontId="4" fillId="0" borderId="0" xfId="0" quotePrefix="1" applyFont="1"/>
    <xf numFmtId="7" fontId="0" fillId="0" borderId="5" xfId="0" applyNumberFormat="1" applyBorder="1"/>
    <xf numFmtId="164" fontId="9" fillId="0" borderId="0" xfId="1" applyNumberFormat="1" applyFont="1"/>
    <xf numFmtId="9" fontId="4" fillId="0" borderId="0" xfId="4" applyFont="1" applyAlignment="1">
      <alignment horizontal="right"/>
    </xf>
    <xf numFmtId="0" fontId="4" fillId="0" borderId="4" xfId="1" applyNumberFormat="1" applyFont="1" applyBorder="1" applyAlignment="1">
      <alignment horizontal="center"/>
    </xf>
    <xf numFmtId="5" fontId="4" fillId="0" borderId="4" xfId="0" applyNumberFormat="1" applyFont="1" applyBorder="1"/>
    <xf numFmtId="10" fontId="4" fillId="0" borderId="4" xfId="4" applyNumberFormat="1" applyFont="1" applyFill="1" applyBorder="1" applyAlignment="1">
      <alignment horizontal="right"/>
    </xf>
    <xf numFmtId="5" fontId="4" fillId="0" borderId="6" xfId="1" applyNumberFormat="1" applyFont="1" applyFill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5" fontId="5" fillId="0" borderId="0" xfId="0" applyNumberFormat="1" applyFont="1" applyBorder="1" applyAlignment="1"/>
    <xf numFmtId="7" fontId="4" fillId="0" borderId="4" xfId="0" applyNumberFormat="1" applyFont="1" applyBorder="1"/>
    <xf numFmtId="10" fontId="0" fillId="0" borderId="0" xfId="4" applyNumberFormat="1" applyFont="1"/>
    <xf numFmtId="5" fontId="0" fillId="0" borderId="0" xfId="0" applyNumberFormat="1"/>
    <xf numFmtId="0" fontId="4" fillId="0" borderId="0" xfId="3" applyFont="1"/>
    <xf numFmtId="5" fontId="0" fillId="0" borderId="7" xfId="0" applyNumberFormat="1" applyBorder="1"/>
    <xf numFmtId="5" fontId="0" fillId="0" borderId="1" xfId="0" applyNumberFormat="1" applyBorder="1"/>
    <xf numFmtId="0" fontId="5" fillId="0" borderId="7" xfId="3" applyFont="1" applyBorder="1"/>
    <xf numFmtId="0" fontId="4" fillId="0" borderId="7" xfId="3" applyFont="1" applyBorder="1"/>
    <xf numFmtId="0" fontId="5" fillId="0" borderId="0" xfId="3" applyFont="1" applyBorder="1"/>
    <xf numFmtId="0" fontId="4" fillId="0" borderId="0" xfId="3" applyFont="1" applyBorder="1"/>
    <xf numFmtId="0" fontId="5" fillId="0" borderId="1" xfId="3" applyFont="1" applyBorder="1"/>
    <xf numFmtId="0" fontId="4" fillId="0" borderId="8" xfId="3" applyFont="1" applyBorder="1"/>
    <xf numFmtId="10" fontId="4" fillId="0" borderId="7" xfId="3" applyNumberFormat="1" applyFont="1" applyBorder="1"/>
    <xf numFmtId="0" fontId="0" fillId="0" borderId="7" xfId="0" applyBorder="1"/>
    <xf numFmtId="0" fontId="0" fillId="0" borderId="1" xfId="0" applyBorder="1"/>
    <xf numFmtId="0" fontId="0" fillId="0" borderId="0" xfId="0" applyBorder="1"/>
    <xf numFmtId="5" fontId="0" fillId="0" borderId="0" xfId="0" applyNumberFormat="1" applyBorder="1"/>
    <xf numFmtId="0" fontId="0" fillId="0" borderId="9" xfId="0" applyBorder="1"/>
    <xf numFmtId="5" fontId="0" fillId="0" borderId="8" xfId="0" applyNumberFormat="1" applyBorder="1"/>
    <xf numFmtId="0" fontId="0" fillId="0" borderId="5" xfId="0" applyBorder="1"/>
    <xf numFmtId="5" fontId="0" fillId="0" borderId="5" xfId="0" applyNumberFormat="1" applyBorder="1"/>
    <xf numFmtId="5" fontId="0" fillId="0" borderId="0" xfId="0" applyNumberFormat="1" applyBorder="1" applyAlignment="1">
      <alignment horizontal="left"/>
    </xf>
    <xf numFmtId="0" fontId="5" fillId="0" borderId="7" xfId="0" applyFont="1" applyBorder="1"/>
    <xf numFmtId="164" fontId="5" fillId="0" borderId="4" xfId="1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5" fontId="0" fillId="0" borderId="10" xfId="0" applyNumberFormat="1" applyBorder="1"/>
    <xf numFmtId="5" fontId="0" fillId="0" borderId="11" xfId="0" applyNumberFormat="1" applyBorder="1"/>
    <xf numFmtId="5" fontId="0" fillId="0" borderId="12" xfId="0" applyNumberFormat="1" applyBorder="1"/>
    <xf numFmtId="10" fontId="4" fillId="0" borderId="1" xfId="3" applyNumberFormat="1" applyFont="1" applyBorder="1"/>
    <xf numFmtId="0" fontId="5" fillId="0" borderId="0" xfId="0" applyFont="1" applyBorder="1"/>
    <xf numFmtId="10" fontId="5" fillId="0" borderId="3" xfId="3" applyNumberFormat="1" applyFont="1" applyBorder="1"/>
    <xf numFmtId="5" fontId="0" fillId="0" borderId="4" xfId="0" applyNumberFormat="1" applyBorder="1"/>
    <xf numFmtId="0" fontId="0" fillId="0" borderId="13" xfId="0" applyBorder="1"/>
    <xf numFmtId="5" fontId="0" fillId="0" borderId="14" xfId="0" applyNumberFormat="1" applyBorder="1"/>
    <xf numFmtId="5" fontId="0" fillId="0" borderId="15" xfId="0" applyNumberFormat="1" applyBorder="1"/>
    <xf numFmtId="0" fontId="0" fillId="0" borderId="17" xfId="0" applyBorder="1"/>
    <xf numFmtId="0" fontId="0" fillId="0" borderId="18" xfId="0" applyBorder="1"/>
    <xf numFmtId="0" fontId="5" fillId="0" borderId="1" xfId="0" applyFont="1" applyBorder="1"/>
    <xf numFmtId="0" fontId="4" fillId="0" borderId="17" xfId="0" applyFont="1" applyBorder="1" applyAlignment="1">
      <alignment horizontal="center"/>
    </xf>
    <xf numFmtId="0" fontId="0" fillId="0" borderId="3" xfId="0" applyBorder="1"/>
    <xf numFmtId="5" fontId="12" fillId="0" borderId="0" xfId="0" applyNumberFormat="1" applyFont="1" applyBorder="1" applyAlignment="1">
      <alignment horizontal="left"/>
    </xf>
    <xf numFmtId="5" fontId="5" fillId="0" borderId="8" xfId="0" applyNumberFormat="1" applyFont="1" applyBorder="1"/>
    <xf numFmtId="165" fontId="13" fillId="0" borderId="19" xfId="0" applyNumberFormat="1" applyFont="1" applyBorder="1"/>
    <xf numFmtId="7" fontId="5" fillId="0" borderId="0" xfId="0" applyNumberFormat="1" applyFont="1"/>
    <xf numFmtId="7" fontId="0" fillId="0" borderId="0" xfId="0" applyNumberFormat="1" applyBorder="1"/>
    <xf numFmtId="164" fontId="4" fillId="0" borderId="20" xfId="1" applyNumberFormat="1" applyFont="1" applyBorder="1" applyProtection="1">
      <protection locked="0"/>
    </xf>
    <xf numFmtId="5" fontId="4" fillId="0" borderId="0" xfId="0" applyNumberFormat="1" applyFont="1" applyBorder="1" applyAlignment="1">
      <alignment horizontal="right"/>
    </xf>
    <xf numFmtId="5" fontId="3" fillId="0" borderId="0" xfId="0" applyNumberFormat="1" applyFont="1" applyBorder="1"/>
    <xf numFmtId="164" fontId="0" fillId="0" borderId="4" xfId="1" applyNumberFormat="1" applyFont="1" applyBorder="1"/>
    <xf numFmtId="164" fontId="0" fillId="0" borderId="0" xfId="1" applyNumberFormat="1" applyFont="1" applyAlignment="1">
      <alignment horizontal="right"/>
    </xf>
    <xf numFmtId="164" fontId="8" fillId="0" borderId="4" xfId="1" applyNumberFormat="1" applyFont="1" applyBorder="1"/>
    <xf numFmtId="167" fontId="4" fillId="0" borderId="4" xfId="1" applyNumberFormat="1" applyFont="1" applyBorder="1"/>
    <xf numFmtId="165" fontId="4" fillId="0" borderId="4" xfId="4" applyNumberFormat="1" applyFont="1" applyBorder="1"/>
    <xf numFmtId="164" fontId="5" fillId="0" borderId="4" xfId="1" applyNumberFormat="1" applyFont="1" applyBorder="1"/>
    <xf numFmtId="164" fontId="4" fillId="0" borderId="4" xfId="1" applyNumberFormat="1" applyFont="1" applyBorder="1"/>
    <xf numFmtId="7" fontId="4" fillId="0" borderId="4" xfId="1" applyNumberFormat="1" applyFont="1" applyBorder="1"/>
    <xf numFmtId="5" fontId="4" fillId="0" borderId="4" xfId="1" applyNumberFormat="1" applyFont="1" applyBorder="1"/>
    <xf numFmtId="5" fontId="4" fillId="0" borderId="11" xfId="1" applyNumberFormat="1" applyFont="1" applyBorder="1"/>
    <xf numFmtId="7" fontId="4" fillId="0" borderId="11" xfId="1" applyNumberFormat="1" applyFont="1" applyBorder="1"/>
    <xf numFmtId="165" fontId="4" fillId="0" borderId="11" xfId="4" applyNumberFormat="1" applyFont="1" applyBorder="1"/>
    <xf numFmtId="164" fontId="5" fillId="0" borderId="11" xfId="1" applyNumberFormat="1" applyFont="1" applyBorder="1"/>
    <xf numFmtId="5" fontId="5" fillId="0" borderId="10" xfId="1" applyNumberFormat="1" applyFont="1" applyBorder="1"/>
    <xf numFmtId="7" fontId="5" fillId="0" borderId="10" xfId="1" applyNumberFormat="1" applyFont="1" applyBorder="1"/>
    <xf numFmtId="165" fontId="5" fillId="0" borderId="10" xfId="4" applyNumberFormat="1" applyFont="1" applyBorder="1"/>
    <xf numFmtId="5" fontId="5" fillId="0" borderId="3" xfId="1" applyNumberFormat="1" applyFont="1" applyBorder="1"/>
    <xf numFmtId="7" fontId="5" fillId="0" borderId="3" xfId="1" applyNumberFormat="1" applyFont="1" applyBorder="1"/>
    <xf numFmtId="165" fontId="5" fillId="0" borderId="3" xfId="4" applyNumberFormat="1" applyFont="1" applyBorder="1"/>
    <xf numFmtId="164" fontId="5" fillId="0" borderId="7" xfId="1" applyNumberFormat="1" applyFont="1" applyBorder="1"/>
    <xf numFmtId="164" fontId="5" fillId="0" borderId="7" xfId="1" applyNumberFormat="1" applyFont="1" applyBorder="1" applyAlignment="1">
      <alignment horizontal="left"/>
    </xf>
    <xf numFmtId="5" fontId="5" fillId="0" borderId="7" xfId="1" applyNumberFormat="1" applyFont="1" applyBorder="1"/>
    <xf numFmtId="7" fontId="5" fillId="0" borderId="7" xfId="1" applyNumberFormat="1" applyFont="1" applyBorder="1"/>
    <xf numFmtId="165" fontId="5" fillId="0" borderId="7" xfId="4" applyNumberFormat="1" applyFont="1" applyBorder="1"/>
    <xf numFmtId="5" fontId="4" fillId="0" borderId="17" xfId="1" applyNumberFormat="1" applyFont="1" applyBorder="1" applyAlignment="1"/>
    <xf numFmtId="164" fontId="5" fillId="0" borderId="3" xfId="1" applyNumberFormat="1" applyFont="1" applyBorder="1"/>
    <xf numFmtId="164" fontId="4" fillId="0" borderId="11" xfId="1" applyNumberFormat="1" applyFont="1" applyBorder="1" applyAlignment="1">
      <alignment horizontal="right"/>
    </xf>
    <xf numFmtId="0" fontId="4" fillId="0" borderId="8" xfId="0" applyFont="1" applyBorder="1"/>
    <xf numFmtId="5" fontId="4" fillId="0" borderId="8" xfId="0" applyNumberFormat="1" applyFont="1" applyBorder="1" applyAlignment="1">
      <alignment horizontal="right"/>
    </xf>
    <xf numFmtId="5" fontId="3" fillId="0" borderId="8" xfId="0" applyNumberFormat="1" applyFont="1" applyBorder="1"/>
    <xf numFmtId="5" fontId="4" fillId="0" borderId="8" xfId="0" applyNumberFormat="1" applyFont="1" applyBorder="1"/>
    <xf numFmtId="5" fontId="8" fillId="0" borderId="0" xfId="0" applyNumberFormat="1" applyFont="1"/>
    <xf numFmtId="165" fontId="4" fillId="0" borderId="8" xfId="4" applyNumberFormat="1" applyFont="1" applyBorder="1"/>
    <xf numFmtId="9" fontId="4" fillId="0" borderId="22" xfId="4" applyFont="1" applyBorder="1" applyAlignment="1">
      <alignment horizontal="center"/>
    </xf>
    <xf numFmtId="5" fontId="4" fillId="0" borderId="4" xfId="0" applyNumberFormat="1" applyFont="1" applyBorder="1" applyAlignment="1">
      <alignment horizontal="center" wrapText="1"/>
    </xf>
    <xf numFmtId="7" fontId="4" fillId="0" borderId="4" xfId="0" applyNumberFormat="1" applyFont="1" applyBorder="1" applyAlignment="1">
      <alignment horizontal="center" wrapText="1"/>
    </xf>
    <xf numFmtId="164" fontId="4" fillId="0" borderId="4" xfId="0" applyNumberFormat="1" applyFont="1" applyBorder="1"/>
    <xf numFmtId="164" fontId="5" fillId="2" borderId="0" xfId="1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7" fontId="4" fillId="0" borderId="0" xfId="0" applyNumberFormat="1" applyFont="1" applyBorder="1"/>
    <xf numFmtId="7" fontId="0" fillId="0" borderId="23" xfId="0" applyNumberFormat="1" applyBorder="1"/>
    <xf numFmtId="7" fontId="4" fillId="0" borderId="26" xfId="1" applyNumberFormat="1" applyFont="1" applyBorder="1"/>
    <xf numFmtId="37" fontId="4" fillId="0" borderId="26" xfId="0" applyNumberFormat="1" applyFont="1" applyBorder="1"/>
    <xf numFmtId="7" fontId="0" fillId="0" borderId="27" xfId="0" applyNumberFormat="1" applyBorder="1"/>
    <xf numFmtId="0" fontId="4" fillId="0" borderId="0" xfId="0" applyFont="1" applyBorder="1"/>
    <xf numFmtId="164" fontId="4" fillId="0" borderId="0" xfId="1" applyNumberFormat="1" applyFont="1" applyBorder="1" applyProtection="1">
      <protection locked="0"/>
    </xf>
    <xf numFmtId="164" fontId="3" fillId="0" borderId="0" xfId="1" applyNumberFormat="1" applyFont="1" applyBorder="1"/>
    <xf numFmtId="7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0" fontId="4" fillId="0" borderId="0" xfId="1" applyNumberFormat="1" applyFont="1" applyBorder="1" applyAlignment="1">
      <alignment horizontal="center"/>
    </xf>
    <xf numFmtId="37" fontId="4" fillId="0" borderId="28" xfId="0" applyNumberFormat="1" applyFont="1" applyBorder="1"/>
    <xf numFmtId="164" fontId="5" fillId="0" borderId="20" xfId="0" applyNumberFormat="1" applyFont="1" applyBorder="1"/>
    <xf numFmtId="7" fontId="5" fillId="0" borderId="20" xfId="0" applyNumberFormat="1" applyFont="1" applyBorder="1"/>
    <xf numFmtId="0" fontId="5" fillId="0" borderId="20" xfId="1" applyNumberFormat="1" applyFont="1" applyBorder="1" applyAlignment="1">
      <alignment horizontal="center"/>
    </xf>
    <xf numFmtId="7" fontId="8" fillId="0" borderId="20" xfId="0" applyNumberFormat="1" applyFont="1" applyBorder="1"/>
    <xf numFmtId="5" fontId="5" fillId="0" borderId="6" xfId="0" applyNumberFormat="1" applyFont="1" applyBorder="1"/>
    <xf numFmtId="7" fontId="0" fillId="0" borderId="29" xfId="0" applyNumberFormat="1" applyBorder="1"/>
    <xf numFmtId="37" fontId="4" fillId="0" borderId="23" xfId="0" applyNumberFormat="1" applyFont="1" applyFill="1" applyBorder="1"/>
    <xf numFmtId="37" fontId="4" fillId="0" borderId="26" xfId="0" applyNumberFormat="1" applyFont="1" applyFill="1" applyBorder="1"/>
    <xf numFmtId="7" fontId="4" fillId="0" borderId="30" xfId="0" applyNumberFormat="1" applyFont="1" applyBorder="1" applyAlignment="1">
      <alignment horizontal="right"/>
    </xf>
    <xf numFmtId="5" fontId="4" fillId="0" borderId="27" xfId="0" applyNumberFormat="1" applyFont="1" applyBorder="1"/>
    <xf numFmtId="0" fontId="3" fillId="0" borderId="0" xfId="1" applyNumberFormat="1" applyFont="1" applyBorder="1" applyAlignment="1">
      <alignment horizontal="center"/>
    </xf>
    <xf numFmtId="5" fontId="3" fillId="0" borderId="27" xfId="0" applyNumberFormat="1" applyFont="1" applyBorder="1" applyAlignment="1"/>
    <xf numFmtId="9" fontId="3" fillId="0" borderId="0" xfId="4" applyFont="1" applyBorder="1" applyAlignment="1">
      <alignment horizontal="right"/>
    </xf>
    <xf numFmtId="5" fontId="5" fillId="0" borderId="31" xfId="0" applyNumberFormat="1" applyFont="1" applyBorder="1"/>
    <xf numFmtId="7" fontId="4" fillId="0" borderId="27" xfId="0" applyNumberFormat="1" applyFont="1" applyBorder="1" applyAlignment="1"/>
    <xf numFmtId="0" fontId="4" fillId="0" borderId="20" xfId="1" applyNumberFormat="1" applyFont="1" applyBorder="1" applyAlignment="1">
      <alignment horizontal="center"/>
    </xf>
    <xf numFmtId="7" fontId="4" fillId="0" borderId="20" xfId="1" applyNumberFormat="1" applyFont="1" applyBorder="1" applyAlignment="1">
      <alignment horizontal="right"/>
    </xf>
    <xf numFmtId="7" fontId="4" fillId="0" borderId="20" xfId="0" quotePrefix="1" applyNumberFormat="1" applyFont="1" applyBorder="1"/>
    <xf numFmtId="5" fontId="5" fillId="0" borderId="32" xfId="0" applyNumberFormat="1" applyFont="1" applyBorder="1"/>
    <xf numFmtId="37" fontId="4" fillId="0" borderId="23" xfId="0" applyNumberFormat="1" applyFont="1" applyBorder="1"/>
    <xf numFmtId="7" fontId="4" fillId="0" borderId="31" xfId="1" applyNumberFormat="1" applyFont="1" applyBorder="1" applyAlignment="1"/>
    <xf numFmtId="0" fontId="4" fillId="0" borderId="31" xfId="1" applyNumberFormat="1" applyFont="1" applyBorder="1" applyAlignment="1"/>
    <xf numFmtId="7" fontId="4" fillId="0" borderId="31" xfId="0" applyNumberFormat="1" applyFont="1" applyBorder="1" applyAlignment="1"/>
    <xf numFmtId="7" fontId="4" fillId="0" borderId="6" xfId="0" applyNumberFormat="1" applyFont="1" applyBorder="1"/>
    <xf numFmtId="165" fontId="5" fillId="0" borderId="6" xfId="4" applyNumberFormat="1" applyFont="1" applyBorder="1"/>
    <xf numFmtId="7" fontId="4" fillId="0" borderId="32" xfId="1" applyNumberFormat="1" applyFont="1" applyBorder="1" applyAlignment="1"/>
    <xf numFmtId="7" fontId="4" fillId="0" borderId="0" xfId="1" applyNumberFormat="1" applyFont="1" applyFill="1" applyBorder="1" applyAlignment="1">
      <alignment horizontal="right"/>
    </xf>
    <xf numFmtId="7" fontId="4" fillId="0" borderId="0" xfId="0" quotePrefix="1" applyNumberFormat="1" applyFont="1" applyFill="1" applyBorder="1"/>
    <xf numFmtId="5" fontId="5" fillId="0" borderId="27" xfId="0" applyNumberFormat="1" applyFont="1" applyFill="1" applyBorder="1"/>
    <xf numFmtId="5" fontId="4" fillId="0" borderId="30" xfId="0" applyNumberFormat="1" applyFont="1" applyBorder="1"/>
    <xf numFmtId="5" fontId="4" fillId="0" borderId="30" xfId="1" applyNumberFormat="1" applyFont="1" applyBorder="1" applyAlignment="1">
      <alignment horizontal="right"/>
    </xf>
    <xf numFmtId="5" fontId="4" fillId="0" borderId="33" xfId="1" applyNumberFormat="1" applyFont="1" applyBorder="1" applyAlignment="1">
      <alignment horizontal="right"/>
    </xf>
    <xf numFmtId="5" fontId="4" fillId="0" borderId="32" xfId="1" applyNumberFormat="1" applyFont="1" applyFill="1" applyBorder="1" applyAlignment="1">
      <alignment horizontal="right"/>
    </xf>
    <xf numFmtId="7" fontId="4" fillId="0" borderId="20" xfId="0" quotePrefix="1" applyNumberFormat="1" applyFont="1" applyFill="1" applyBorder="1"/>
    <xf numFmtId="5" fontId="5" fillId="0" borderId="29" xfId="0" applyNumberFormat="1" applyFont="1" applyFill="1" applyBorder="1"/>
    <xf numFmtId="0" fontId="5" fillId="0" borderId="0" xfId="0" applyFont="1" applyFill="1" applyBorder="1"/>
    <xf numFmtId="0" fontId="15" fillId="0" borderId="0" xfId="0" applyFont="1"/>
    <xf numFmtId="0" fontId="4" fillId="0" borderId="23" xfId="0" applyFont="1" applyBorder="1"/>
    <xf numFmtId="0" fontId="5" fillId="0" borderId="24" xfId="0" applyFont="1" applyBorder="1"/>
    <xf numFmtId="5" fontId="5" fillId="0" borderId="34" xfId="0" applyNumberFormat="1" applyFont="1" applyBorder="1"/>
    <xf numFmtId="5" fontId="5" fillId="0" borderId="35" xfId="0" applyNumberFormat="1" applyFont="1" applyBorder="1"/>
    <xf numFmtId="0" fontId="4" fillId="0" borderId="26" xfId="0" applyFont="1" applyBorder="1"/>
    <xf numFmtId="0" fontId="4" fillId="0" borderId="27" xfId="0" applyFont="1" applyBorder="1"/>
    <xf numFmtId="5" fontId="5" fillId="0" borderId="36" xfId="0" applyNumberFormat="1" applyFont="1" applyBorder="1"/>
    <xf numFmtId="0" fontId="4" fillId="0" borderId="28" xfId="0" applyFont="1" applyBorder="1"/>
    <xf numFmtId="0" fontId="5" fillId="0" borderId="20" xfId="0" applyFont="1" applyBorder="1"/>
    <xf numFmtId="165" fontId="5" fillId="0" borderId="20" xfId="0" applyNumberFormat="1" applyFont="1" applyBorder="1"/>
    <xf numFmtId="0" fontId="4" fillId="0" borderId="20" xfId="0" applyFont="1" applyBorder="1"/>
    <xf numFmtId="0" fontId="4" fillId="0" borderId="29" xfId="0" applyFont="1" applyBorder="1"/>
    <xf numFmtId="5" fontId="5" fillId="0" borderId="37" xfId="0" applyNumberFormat="1" applyFont="1" applyBorder="1"/>
    <xf numFmtId="168" fontId="5" fillId="0" borderId="38" xfId="0" applyNumberFormat="1" applyFont="1" applyBorder="1"/>
    <xf numFmtId="5" fontId="16" fillId="0" borderId="19" xfId="0" applyNumberFormat="1" applyFont="1" applyBorder="1" applyAlignment="1">
      <alignment horizontal="center" wrapText="1"/>
    </xf>
    <xf numFmtId="164" fontId="4" fillId="0" borderId="4" xfId="1" applyNumberFormat="1" applyFont="1" applyBorder="1" applyAlignment="1">
      <alignment horizontal="left"/>
    </xf>
    <xf numFmtId="7" fontId="3" fillId="0" borderId="0" xfId="0" applyNumberFormat="1" applyFont="1" applyBorder="1" applyAlignment="1">
      <alignment wrapText="1"/>
    </xf>
    <xf numFmtId="164" fontId="5" fillId="0" borderId="5" xfId="1" applyNumberFormat="1" applyFont="1" applyBorder="1" applyAlignment="1">
      <alignment horizontal="left"/>
    </xf>
    <xf numFmtId="7" fontId="4" fillId="0" borderId="4" xfId="1" applyNumberFormat="1" applyFont="1" applyFill="1" applyBorder="1" applyAlignment="1">
      <alignment horizontal="center"/>
    </xf>
    <xf numFmtId="0" fontId="8" fillId="0" borderId="5" xfId="1" applyNumberFormat="1" applyFont="1" applyBorder="1" applyAlignment="1">
      <alignment horizontal="center"/>
    </xf>
    <xf numFmtId="7" fontId="8" fillId="0" borderId="5" xfId="0" applyNumberFormat="1" applyFont="1" applyBorder="1" applyAlignment="1">
      <alignment horizontal="center"/>
    </xf>
    <xf numFmtId="5" fontId="5" fillId="0" borderId="30" xfId="0" applyNumberFormat="1" applyFont="1" applyBorder="1"/>
    <xf numFmtId="0" fontId="0" fillId="0" borderId="5" xfId="0" applyNumberFormat="1" applyFont="1" applyBorder="1" applyAlignment="1">
      <alignment horizontal="center" wrapText="1" readingOrder="1"/>
    </xf>
    <xf numFmtId="0" fontId="0" fillId="0" borderId="5" xfId="0" applyNumberFormat="1" applyFont="1" applyBorder="1" applyAlignment="1" applyProtection="1">
      <alignment horizontal="center" wrapText="1"/>
      <protection locked="0"/>
    </xf>
    <xf numFmtId="49" fontId="0" fillId="0" borderId="5" xfId="1" applyNumberFormat="1" applyFont="1" applyBorder="1" applyAlignment="1">
      <alignment horizontal="center" wrapText="1"/>
    </xf>
    <xf numFmtId="0" fontId="0" fillId="0" borderId="0" xfId="0" applyFont="1" applyBorder="1"/>
    <xf numFmtId="165" fontId="3" fillId="0" borderId="0" xfId="1" applyNumberFormat="1" applyFont="1" applyBorder="1" applyAlignment="1">
      <alignment horizontal="right" vertical="top"/>
    </xf>
    <xf numFmtId="164" fontId="19" fillId="0" borderId="0" xfId="1" applyNumberFormat="1" applyFont="1"/>
    <xf numFmtId="7" fontId="3" fillId="0" borderId="5" xfId="0" applyNumberFormat="1" applyFont="1" applyBorder="1" applyAlignment="1">
      <alignment horizontal="center"/>
    </xf>
    <xf numFmtId="10" fontId="1" fillId="0" borderId="4" xfId="4" applyNumberFormat="1" applyFont="1" applyBorder="1" applyAlignment="1">
      <alignment horizontal="center"/>
    </xf>
    <xf numFmtId="1" fontId="1" fillId="0" borderId="4" xfId="4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center"/>
    </xf>
    <xf numFmtId="9" fontId="1" fillId="0" borderId="4" xfId="4" applyFont="1" applyBorder="1" applyAlignment="1">
      <alignment horizontal="center"/>
    </xf>
    <xf numFmtId="9" fontId="1" fillId="0" borderId="15" xfId="4" applyFont="1" applyBorder="1" applyAlignment="1">
      <alignment horizontal="center"/>
    </xf>
    <xf numFmtId="0" fontId="0" fillId="0" borderId="0" xfId="0" applyFont="1"/>
    <xf numFmtId="0" fontId="0" fillId="0" borderId="8" xfId="0" applyFont="1" applyBorder="1"/>
    <xf numFmtId="7" fontId="0" fillId="0" borderId="0" xfId="0" applyNumberFormat="1" applyFont="1"/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3" applyFont="1" applyBorder="1"/>
    <xf numFmtId="0" fontId="0" fillId="0" borderId="16" xfId="3" applyFont="1" applyBorder="1"/>
    <xf numFmtId="43" fontId="0" fillId="0" borderId="4" xfId="1" applyFont="1" applyBorder="1" applyAlignment="1">
      <alignment horizontal="center"/>
    </xf>
    <xf numFmtId="164" fontId="21" fillId="0" borderId="0" xfId="1" applyNumberFormat="1" applyFont="1"/>
    <xf numFmtId="43" fontId="21" fillId="0" borderId="0" xfId="1" applyFont="1"/>
    <xf numFmtId="164" fontId="22" fillId="0" borderId="0" xfId="1" applyNumberFormat="1" applyFont="1"/>
    <xf numFmtId="166" fontId="21" fillId="0" borderId="0" xfId="1" applyNumberFormat="1" applyFont="1"/>
    <xf numFmtId="167" fontId="21" fillId="0" borderId="0" xfId="1" applyNumberFormat="1" applyFont="1"/>
    <xf numFmtId="165" fontId="21" fillId="0" borderId="0" xfId="4" applyNumberFormat="1" applyFont="1"/>
    <xf numFmtId="43" fontId="21" fillId="0" borderId="0" xfId="1" applyFont="1" applyAlignment="1"/>
    <xf numFmtId="0" fontId="21" fillId="0" borderId="0" xfId="0" applyFont="1" applyAlignment="1">
      <alignment shrinkToFit="1"/>
    </xf>
    <xf numFmtId="0" fontId="21" fillId="0" borderId="0" xfId="0" applyFont="1" applyAlignment="1"/>
    <xf numFmtId="165" fontId="5" fillId="0" borderId="21" xfId="0" applyNumberFormat="1" applyFont="1" applyBorder="1"/>
    <xf numFmtId="6" fontId="4" fillId="0" borderId="0" xfId="2" applyNumberFormat="1" applyFont="1" applyBorder="1"/>
    <xf numFmtId="6" fontId="4" fillId="0" borderId="20" xfId="2" applyNumberFormat="1" applyFont="1" applyBorder="1"/>
    <xf numFmtId="6" fontId="3" fillId="0" borderId="0" xfId="0" applyNumberFormat="1" applyFont="1" applyBorder="1"/>
    <xf numFmtId="43" fontId="0" fillId="0" borderId="4" xfId="1" applyFont="1" applyBorder="1" applyAlignment="1">
      <alignment horizontal="center" wrapText="1"/>
    </xf>
    <xf numFmtId="5" fontId="5" fillId="0" borderId="30" xfId="0" applyNumberFormat="1" applyFont="1" applyBorder="1" applyAlignment="1">
      <alignment horizontal="center"/>
    </xf>
    <xf numFmtId="0" fontId="0" fillId="0" borderId="31" xfId="1" applyNumberFormat="1" applyFont="1" applyBorder="1" applyAlignment="1">
      <alignment horizontal="center"/>
    </xf>
    <xf numFmtId="7" fontId="3" fillId="0" borderId="0" xfId="0" applyNumberFormat="1" applyFont="1" applyAlignment="1">
      <alignment horizontal="left"/>
    </xf>
    <xf numFmtId="9" fontId="4" fillId="0" borderId="0" xfId="4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164" fontId="4" fillId="0" borderId="0" xfId="1" applyNumberFormat="1" applyFont="1" applyBorder="1" applyAlignment="1">
      <alignment horizontal="left"/>
    </xf>
    <xf numFmtId="7" fontId="0" fillId="0" borderId="24" xfId="0" applyNumberFormat="1" applyFont="1" applyBorder="1" applyAlignment="1">
      <alignment horizontal="left"/>
    </xf>
    <xf numFmtId="7" fontId="0" fillId="0" borderId="25" xfId="0" applyNumberFormat="1" applyFont="1" applyBorder="1" applyAlignment="1">
      <alignment horizontal="left"/>
    </xf>
    <xf numFmtId="43" fontId="0" fillId="0" borderId="0" xfId="1" applyFont="1" applyFill="1" applyBorder="1" applyAlignment="1">
      <alignment horizontal="left"/>
    </xf>
    <xf numFmtId="43" fontId="1" fillId="0" borderId="0" xfId="1" applyFont="1" applyFill="1" applyBorder="1" applyAlignment="1">
      <alignment horizontal="left"/>
    </xf>
    <xf numFmtId="43" fontId="1" fillId="0" borderId="27" xfId="1" applyFont="1" applyFill="1" applyBorder="1" applyAlignment="1">
      <alignment horizontal="left"/>
    </xf>
    <xf numFmtId="164" fontId="4" fillId="0" borderId="18" xfId="1" applyNumberFormat="1" applyFont="1" applyBorder="1" applyAlignment="1">
      <alignment horizontal="left"/>
    </xf>
    <xf numFmtId="164" fontId="4" fillId="0" borderId="45" xfId="1" applyNumberFormat="1" applyFont="1" applyBorder="1" applyAlignment="1">
      <alignment horizontal="left"/>
    </xf>
    <xf numFmtId="164" fontId="5" fillId="0" borderId="17" xfId="1" applyNumberFormat="1" applyFont="1" applyBorder="1" applyAlignment="1">
      <alignment horizontal="right"/>
    </xf>
    <xf numFmtId="164" fontId="5" fillId="0" borderId="5" xfId="1" applyNumberFormat="1" applyFont="1" applyBorder="1" applyAlignment="1">
      <alignment horizontal="right"/>
    </xf>
    <xf numFmtId="164" fontId="5" fillId="0" borderId="22" xfId="1" applyNumberFormat="1" applyFont="1" applyBorder="1" applyAlignment="1">
      <alignment horizontal="right"/>
    </xf>
    <xf numFmtId="164" fontId="4" fillId="0" borderId="17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4" fillId="0" borderId="22" xfId="1" applyNumberFormat="1" applyFont="1" applyBorder="1" applyAlignment="1">
      <alignment horizontal="center"/>
    </xf>
    <xf numFmtId="164" fontId="5" fillId="0" borderId="17" xfId="1" applyNumberFormat="1" applyFont="1" applyBorder="1" applyAlignment="1">
      <alignment horizontal="left"/>
    </xf>
    <xf numFmtId="164" fontId="5" fillId="0" borderId="5" xfId="1" applyNumberFormat="1" applyFont="1" applyBorder="1" applyAlignment="1">
      <alignment horizontal="left"/>
    </xf>
    <xf numFmtId="164" fontId="5" fillId="0" borderId="22" xfId="1" applyNumberFormat="1" applyFont="1" applyBorder="1" applyAlignment="1">
      <alignment horizontal="left"/>
    </xf>
    <xf numFmtId="164" fontId="5" fillId="0" borderId="46" xfId="1" applyNumberFormat="1" applyFont="1" applyBorder="1" applyAlignment="1">
      <alignment horizontal="left"/>
    </xf>
    <xf numFmtId="164" fontId="5" fillId="0" borderId="47" xfId="1" applyNumberFormat="1" applyFont="1" applyBorder="1" applyAlignment="1">
      <alignment horizontal="left"/>
    </xf>
    <xf numFmtId="164" fontId="5" fillId="0" borderId="48" xfId="1" applyNumberFormat="1" applyFont="1" applyBorder="1" applyAlignment="1">
      <alignment horizontal="left"/>
    </xf>
    <xf numFmtId="164" fontId="5" fillId="0" borderId="43" xfId="1" applyNumberFormat="1" applyFont="1" applyBorder="1" applyAlignment="1">
      <alignment horizontal="left"/>
    </xf>
    <xf numFmtId="164" fontId="5" fillId="0" borderId="44" xfId="1" applyNumberFormat="1" applyFont="1" applyBorder="1" applyAlignment="1">
      <alignment horizontal="left"/>
    </xf>
    <xf numFmtId="164" fontId="4" fillId="0" borderId="17" xfId="1" applyNumberFormat="1" applyFont="1" applyBorder="1" applyAlignment="1">
      <alignment horizontal="left"/>
    </xf>
    <xf numFmtId="164" fontId="4" fillId="0" borderId="22" xfId="1" applyNumberFormat="1" applyFont="1" applyBorder="1" applyAlignment="1">
      <alignment horizontal="left"/>
    </xf>
    <xf numFmtId="164" fontId="0" fillId="0" borderId="18" xfId="1" applyNumberFormat="1" applyFont="1" applyBorder="1" applyAlignment="1">
      <alignment horizontal="left"/>
    </xf>
    <xf numFmtId="164" fontId="0" fillId="0" borderId="17" xfId="1" applyNumberFormat="1" applyFont="1" applyBorder="1" applyAlignment="1">
      <alignment horizontal="left"/>
    </xf>
    <xf numFmtId="164" fontId="0" fillId="0" borderId="0" xfId="1" applyNumberFormat="1" applyFont="1" applyAlignment="1">
      <alignment horizontal="left"/>
    </xf>
    <xf numFmtId="164" fontId="1" fillId="0" borderId="0" xfId="1" applyNumberFormat="1" applyFont="1" applyAlignment="1">
      <alignment horizontal="left"/>
    </xf>
    <xf numFmtId="164" fontId="5" fillId="0" borderId="20" xfId="0" applyNumberFormat="1" applyFont="1" applyBorder="1" applyAlignment="1">
      <alignment horizontal="left"/>
    </xf>
    <xf numFmtId="164" fontId="4" fillId="0" borderId="14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left"/>
    </xf>
    <xf numFmtId="164" fontId="0" fillId="0" borderId="24" xfId="0" applyNumberFormat="1" applyFont="1" applyFill="1" applyBorder="1" applyAlignment="1">
      <alignment horizontal="left"/>
    </xf>
    <xf numFmtId="164" fontId="0" fillId="0" borderId="25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27" xfId="0" applyNumberFormat="1" applyFont="1" applyFill="1" applyBorder="1" applyAlignment="1">
      <alignment horizontal="left"/>
    </xf>
    <xf numFmtId="43" fontId="5" fillId="0" borderId="6" xfId="1" applyFont="1" applyBorder="1" applyAlignment="1">
      <alignment horizontal="left"/>
    </xf>
    <xf numFmtId="164" fontId="0" fillId="0" borderId="24" xfId="0" applyNumberFormat="1" applyFont="1" applyBorder="1" applyAlignment="1">
      <alignment horizontal="left"/>
    </xf>
    <xf numFmtId="164" fontId="0" fillId="0" borderId="25" xfId="0" applyNumberFormat="1" applyFont="1" applyBorder="1" applyAlignment="1">
      <alignment horizontal="left"/>
    </xf>
    <xf numFmtId="164" fontId="5" fillId="0" borderId="15" xfId="1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164" fontId="4" fillId="0" borderId="17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39" fontId="4" fillId="0" borderId="4" xfId="1" applyNumberFormat="1" applyFont="1" applyBorder="1" applyAlignment="1">
      <alignment horizontal="left"/>
    </xf>
    <xf numFmtId="43" fontId="4" fillId="0" borderId="4" xfId="1" applyFont="1" applyBorder="1" applyAlignment="1">
      <alignment horizontal="center"/>
    </xf>
    <xf numFmtId="43" fontId="5" fillId="0" borderId="17" xfId="1" applyFont="1" applyBorder="1" applyAlignment="1">
      <alignment horizontal="left"/>
    </xf>
    <xf numFmtId="43" fontId="5" fillId="0" borderId="22" xfId="1" applyFont="1" applyBorder="1" applyAlignment="1">
      <alignment horizontal="left"/>
    </xf>
    <xf numFmtId="43" fontId="0" fillId="0" borderId="4" xfId="1" applyFont="1" applyFill="1" applyBorder="1" applyAlignment="1">
      <alignment horizontal="left"/>
    </xf>
    <xf numFmtId="43" fontId="1" fillId="0" borderId="4" xfId="1" applyFont="1" applyFill="1" applyBorder="1" applyAlignment="1">
      <alignment horizontal="left"/>
    </xf>
    <xf numFmtId="43" fontId="0" fillId="0" borderId="39" xfId="1" applyFont="1" applyFill="1" applyBorder="1" applyAlignment="1">
      <alignment horizontal="left" wrapText="1"/>
    </xf>
    <xf numFmtId="43" fontId="1" fillId="0" borderId="40" xfId="1" applyFont="1" applyFill="1" applyBorder="1" applyAlignment="1">
      <alignment horizontal="left" wrapText="1"/>
    </xf>
    <xf numFmtId="43" fontId="1" fillId="0" borderId="41" xfId="1" applyFont="1" applyFill="1" applyBorder="1" applyAlignment="1">
      <alignment horizontal="left" wrapText="1"/>
    </xf>
    <xf numFmtId="164" fontId="0" fillId="0" borderId="4" xfId="0" applyNumberFormat="1" applyFont="1" applyBorder="1" applyAlignment="1">
      <alignment horizontal="left"/>
    </xf>
    <xf numFmtId="164" fontId="0" fillId="0" borderId="22" xfId="0" applyNumberFormat="1" applyFont="1" applyBorder="1" applyAlignment="1">
      <alignment horizontal="left"/>
    </xf>
    <xf numFmtId="43" fontId="0" fillId="0" borderId="6" xfId="1" applyFont="1" applyFill="1" applyBorder="1" applyAlignment="1">
      <alignment horizontal="left"/>
    </xf>
    <xf numFmtId="43" fontId="1" fillId="0" borderId="6" xfId="1" applyFont="1" applyFill="1" applyBorder="1" applyAlignment="1">
      <alignment horizontal="left"/>
    </xf>
    <xf numFmtId="7" fontId="2" fillId="0" borderId="13" xfId="0" quotePrefix="1" applyNumberFormat="1" applyFont="1" applyBorder="1" applyAlignment="1">
      <alignment horizontal="center"/>
    </xf>
    <xf numFmtId="7" fontId="2" fillId="0" borderId="42" xfId="0" applyNumberFormat="1" applyFont="1" applyBorder="1" applyAlignment="1">
      <alignment horizontal="center"/>
    </xf>
    <xf numFmtId="43" fontId="1" fillId="0" borderId="24" xfId="1" applyFont="1" applyBorder="1" applyAlignment="1">
      <alignment horizontal="left"/>
    </xf>
    <xf numFmtId="43" fontId="1" fillId="0" borderId="25" xfId="1" applyFont="1" applyBorder="1" applyAlignment="1">
      <alignment horizontal="left"/>
    </xf>
    <xf numFmtId="164" fontId="4" fillId="0" borderId="4" xfId="1" applyNumberFormat="1" applyFont="1" applyBorder="1" applyAlignment="1">
      <alignment horizontal="left"/>
    </xf>
    <xf numFmtId="164" fontId="1" fillId="0" borderId="4" xfId="1" applyNumberFormat="1" applyFont="1" applyBorder="1" applyAlignment="1">
      <alignment horizontal="left"/>
    </xf>
    <xf numFmtId="164" fontId="0" fillId="0" borderId="4" xfId="1" applyNumberFormat="1" applyFont="1" applyBorder="1" applyAlignment="1">
      <alignment horizontal="left"/>
    </xf>
    <xf numFmtId="7" fontId="0" fillId="0" borderId="4" xfId="0" applyNumberFormat="1" applyFont="1" applyBorder="1" applyAlignment="1">
      <alignment horizontal="center"/>
    </xf>
    <xf numFmtId="7" fontId="4" fillId="0" borderId="4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1" applyNumberFormat="1" applyFont="1" applyFill="1" applyBorder="1" applyAlignment="1">
      <alignment horizontal="left"/>
    </xf>
    <xf numFmtId="164" fontId="1" fillId="0" borderId="0" xfId="1" applyNumberFormat="1" applyFont="1" applyFill="1" applyBorder="1" applyAlignment="1">
      <alignment horizontal="left"/>
    </xf>
    <xf numFmtId="0" fontId="0" fillId="2" borderId="0" xfId="0" applyFont="1" applyFill="1" applyAlignment="1">
      <alignment horizontal="left"/>
    </xf>
  </cellXfs>
  <cellStyles count="53">
    <cellStyle name="Comma" xfId="1" builtinId="3"/>
    <cellStyle name="Comma 2" xfId="6"/>
    <cellStyle name="Comma 3" xfId="7"/>
    <cellStyle name="Comma 4" xfId="8"/>
    <cellStyle name="Currency" xfId="2" builtinId="4"/>
    <cellStyle name="Currency 2" xfId="9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Normal 2" xfId="5"/>
    <cellStyle name="Normal 2 2" xfId="10"/>
    <cellStyle name="Normal 3" xfId="11"/>
    <cellStyle name="Normal_Joint Venture Distribution of return analysis" xfId="3"/>
    <cellStyle name="Percent" xfId="4" builtinId="5"/>
    <cellStyle name="Percent 2" xfId="12"/>
    <cellStyle name="Percent 3" xfId="13"/>
    <cellStyle name="Percent 4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F10" sqref="F10"/>
    </sheetView>
  </sheetViews>
  <sheetFormatPr defaultColWidth="6.875" defaultRowHeight="15.75" x14ac:dyDescent="0.25"/>
  <cols>
    <col min="1" max="1" width="4.125" style="2" customWidth="1"/>
    <col min="2" max="2" width="6.875" style="2" customWidth="1"/>
    <col min="3" max="3" width="31.625" style="2" customWidth="1"/>
    <col min="4" max="4" width="11.625" style="2" customWidth="1"/>
    <col min="5" max="5" width="19" style="2" customWidth="1"/>
    <col min="6" max="6" width="12.5" style="2" customWidth="1"/>
    <col min="7" max="7" width="13.625" style="2" customWidth="1"/>
    <col min="8" max="9" width="6.875" style="2" customWidth="1"/>
    <col min="10" max="10" width="21.5" style="2" customWidth="1"/>
    <col min="11" max="11" width="16.5" style="2" customWidth="1"/>
    <col min="12" max="16384" width="6.875" style="2"/>
  </cols>
  <sheetData>
    <row r="1" spans="1:17" x14ac:dyDescent="0.25">
      <c r="A1" s="152"/>
      <c r="B1" s="262" t="s">
        <v>87</v>
      </c>
      <c r="C1" s="262"/>
      <c r="D1" s="262"/>
      <c r="E1" s="262"/>
      <c r="F1" s="262"/>
      <c r="G1" s="263"/>
    </row>
    <row r="2" spans="1:17" s="4" customFormat="1" x14ac:dyDescent="0.25">
      <c r="A2" s="153"/>
      <c r="B2" s="264" t="s">
        <v>133</v>
      </c>
      <c r="C2" s="265"/>
      <c r="D2" s="265"/>
      <c r="E2" s="265"/>
      <c r="F2" s="265"/>
      <c r="G2" s="266"/>
    </row>
    <row r="3" spans="1:17" ht="36" customHeight="1" x14ac:dyDescent="0.25">
      <c r="A3" s="154">
        <v>1</v>
      </c>
      <c r="B3" s="49" t="s">
        <v>91</v>
      </c>
      <c r="C3" s="50"/>
      <c r="D3" s="224" t="s">
        <v>90</v>
      </c>
      <c r="E3" s="222" t="s">
        <v>137</v>
      </c>
      <c r="F3" s="223" t="s">
        <v>134</v>
      </c>
      <c r="G3" s="155"/>
    </row>
    <row r="4" spans="1:17" x14ac:dyDescent="0.25">
      <c r="A4" s="154">
        <f>A3+1</f>
        <v>2</v>
      </c>
      <c r="B4" s="156" t="s">
        <v>39</v>
      </c>
      <c r="C4" s="156"/>
      <c r="D4" s="157">
        <v>22000</v>
      </c>
      <c r="E4" s="252">
        <v>24</v>
      </c>
      <c r="F4" s="157">
        <f>E4*D4</f>
        <v>528000</v>
      </c>
      <c r="G4" s="155"/>
      <c r="H4" s="52"/>
      <c r="I4" s="52"/>
    </row>
    <row r="5" spans="1:17" x14ac:dyDescent="0.25">
      <c r="A5" s="154">
        <f t="shared" ref="A5:A12" si="0">A4+1</f>
        <v>3</v>
      </c>
      <c r="B5" s="156" t="s">
        <v>40</v>
      </c>
      <c r="C5" s="156"/>
      <c r="D5" s="157">
        <v>18000</v>
      </c>
      <c r="E5" s="252">
        <v>24</v>
      </c>
      <c r="F5" s="157">
        <f>E5*D5</f>
        <v>432000</v>
      </c>
      <c r="G5" s="155"/>
      <c r="H5" s="52"/>
      <c r="I5" s="52"/>
      <c r="Q5" s="53"/>
    </row>
    <row r="6" spans="1:17" ht="16.5" thickBot="1" x14ac:dyDescent="0.3">
      <c r="A6" s="154">
        <f t="shared" si="0"/>
        <v>4</v>
      </c>
      <c r="B6" s="225" t="s">
        <v>138</v>
      </c>
      <c r="C6" s="156"/>
      <c r="D6" s="109">
        <v>20000</v>
      </c>
      <c r="E6" s="253">
        <v>33</v>
      </c>
      <c r="F6" s="109">
        <f>D6*E6</f>
        <v>660000</v>
      </c>
      <c r="G6" s="155"/>
      <c r="H6" s="52"/>
      <c r="I6" s="52"/>
    </row>
    <row r="7" spans="1:17" x14ac:dyDescent="0.25">
      <c r="A7" s="154">
        <f t="shared" si="0"/>
        <v>5</v>
      </c>
      <c r="B7" s="45" t="s">
        <v>60</v>
      </c>
      <c r="C7" s="45"/>
      <c r="D7" s="158">
        <f>SUM(D4:D6)</f>
        <v>60000</v>
      </c>
      <c r="E7" s="254">
        <f>((D4*E4)+(D5*E5)+(D6*E6))/D7</f>
        <v>27</v>
      </c>
      <c r="F7" s="14">
        <f>D7*E7</f>
        <v>1620000</v>
      </c>
      <c r="G7" s="155"/>
      <c r="J7" s="65"/>
    </row>
    <row r="8" spans="1:17" x14ac:dyDescent="0.25">
      <c r="A8" s="154">
        <f t="shared" si="0"/>
        <v>6</v>
      </c>
      <c r="B8" s="261" t="s">
        <v>65</v>
      </c>
      <c r="C8" s="261"/>
      <c r="D8" s="158">
        <f>D7</f>
        <v>60000</v>
      </c>
      <c r="E8" s="159" t="s">
        <v>159</v>
      </c>
      <c r="F8" s="14">
        <v>0</v>
      </c>
      <c r="G8" s="155"/>
      <c r="J8" s="65"/>
    </row>
    <row r="9" spans="1:17" x14ac:dyDescent="0.25">
      <c r="A9" s="154">
        <f t="shared" si="0"/>
        <v>7</v>
      </c>
      <c r="B9" s="261" t="s">
        <v>78</v>
      </c>
      <c r="C9" s="261"/>
      <c r="D9" s="158">
        <f>D7</f>
        <v>60000</v>
      </c>
      <c r="E9" s="111">
        <f>'Figure 2-16'!F39</f>
        <v>9</v>
      </c>
      <c r="F9" s="15">
        <f>D9*E9</f>
        <v>540000</v>
      </c>
      <c r="G9" s="155"/>
    </row>
    <row r="10" spans="1:17" x14ac:dyDescent="0.25">
      <c r="A10" s="154">
        <f t="shared" si="0"/>
        <v>8</v>
      </c>
      <c r="B10" s="160" t="s">
        <v>14</v>
      </c>
      <c r="C10" s="151"/>
      <c r="D10" s="161"/>
      <c r="E10" s="39"/>
      <c r="F10" s="32">
        <f>SUM(F7:F9)</f>
        <v>2160000</v>
      </c>
      <c r="G10" s="155"/>
    </row>
    <row r="11" spans="1:17" ht="31.5" x14ac:dyDescent="0.25">
      <c r="A11" s="154">
        <f t="shared" si="0"/>
        <v>9</v>
      </c>
      <c r="B11" s="160" t="s">
        <v>41</v>
      </c>
      <c r="C11" s="151"/>
      <c r="D11" s="226">
        <v>7.0000000000000007E-2</v>
      </c>
      <c r="E11" s="216" t="s">
        <v>79</v>
      </c>
      <c r="F11" s="14">
        <f>D6/D7*-D11*(F7+F9)</f>
        <v>-50400</v>
      </c>
      <c r="G11" s="155"/>
    </row>
    <row r="12" spans="1:17" ht="16.5" thickBot="1" x14ac:dyDescent="0.3">
      <c r="A12" s="162">
        <f t="shared" si="0"/>
        <v>10</v>
      </c>
      <c r="B12" s="163" t="s">
        <v>88</v>
      </c>
      <c r="C12" s="164"/>
      <c r="D12" s="165"/>
      <c r="E12" s="166"/>
      <c r="F12" s="167">
        <f>SUM(F10:F11)</f>
        <v>2109600</v>
      </c>
      <c r="G12" s="168"/>
    </row>
  </sheetData>
  <mergeCells count="4">
    <mergeCell ref="B9:C9"/>
    <mergeCell ref="B1:G1"/>
    <mergeCell ref="B2:G2"/>
    <mergeCell ref="B8:C8"/>
  </mergeCells>
  <pageMargins left="0.75" right="0.75" top="1" bottom="1" header="0.5" footer="0.5"/>
  <pageSetup orientation="portrait" r:id="rId1"/>
  <headerFooter alignWithMargins="0">
    <oddHeader>&amp;C&amp;F&amp;A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3" workbookViewId="0">
      <selection activeCell="E3" sqref="E3"/>
    </sheetView>
  </sheetViews>
  <sheetFormatPr defaultColWidth="6.875" defaultRowHeight="15.75" x14ac:dyDescent="0.25"/>
  <cols>
    <col min="1" max="1" width="5.375" style="1" customWidth="1"/>
    <col min="2" max="2" width="2.5" style="1" customWidth="1"/>
    <col min="3" max="3" width="3.625" style="6" customWidth="1"/>
    <col min="4" max="4" width="31.125" style="1" customWidth="1"/>
    <col min="5" max="5" width="12.375" style="7" customWidth="1"/>
    <col min="6" max="6" width="14.5" style="8" customWidth="1"/>
    <col min="7" max="7" width="14.125" style="3" customWidth="1"/>
    <col min="8" max="8" width="9.625" style="1" customWidth="1"/>
    <col min="9" max="11" width="6.875" style="1" customWidth="1"/>
    <col min="12" max="12" width="21.625" style="1" customWidth="1"/>
    <col min="13" max="13" width="17.375" style="1" customWidth="1"/>
    <col min="14" max="16384" width="6.875" style="1"/>
  </cols>
  <sheetData>
    <row r="1" spans="1:12" x14ac:dyDescent="0.25">
      <c r="B1" s="287" t="s">
        <v>82</v>
      </c>
      <c r="C1" s="288"/>
      <c r="D1" s="288"/>
      <c r="E1" s="288"/>
      <c r="F1" s="288"/>
      <c r="G1" s="288"/>
    </row>
    <row r="2" spans="1:12" x14ac:dyDescent="0.25">
      <c r="A2" s="20"/>
      <c r="B2" s="288" t="s">
        <v>92</v>
      </c>
      <c r="C2" s="288"/>
      <c r="D2" s="288"/>
      <c r="E2" s="288"/>
      <c r="F2" s="288"/>
      <c r="G2" s="288"/>
      <c r="H2" s="20"/>
      <c r="I2" s="227"/>
    </row>
    <row r="3" spans="1:12" ht="21.75" customHeight="1" x14ac:dyDescent="0.25">
      <c r="A3" s="54">
        <v>1</v>
      </c>
      <c r="B3" s="269" t="s">
        <v>135</v>
      </c>
      <c r="C3" s="270"/>
      <c r="D3" s="271"/>
      <c r="E3" s="114">
        <f>'Figure 2-11'!D7</f>
        <v>60000</v>
      </c>
      <c r="F3" s="115"/>
      <c r="G3" s="116"/>
      <c r="H3" s="20"/>
      <c r="I3" s="20"/>
    </row>
    <row r="4" spans="1:12" ht="21.75" customHeight="1" x14ac:dyDescent="0.25">
      <c r="A4" s="54">
        <v>2</v>
      </c>
      <c r="B4" s="269" t="s">
        <v>136</v>
      </c>
      <c r="C4" s="270"/>
      <c r="D4" s="271"/>
      <c r="E4" s="114">
        <v>240000</v>
      </c>
      <c r="F4" s="115"/>
      <c r="G4" s="116"/>
      <c r="H4" s="20"/>
      <c r="I4" s="20"/>
    </row>
    <row r="5" spans="1:12" ht="31.5" x14ac:dyDescent="0.25">
      <c r="A5" s="54"/>
      <c r="B5" s="272"/>
      <c r="C5" s="273"/>
      <c r="D5" s="274"/>
      <c r="E5" s="241" t="s">
        <v>162</v>
      </c>
      <c r="F5" s="241" t="s">
        <v>163</v>
      </c>
      <c r="G5" s="255" t="s">
        <v>160</v>
      </c>
      <c r="H5" s="20"/>
      <c r="I5" s="20"/>
      <c r="K5" s="113"/>
    </row>
    <row r="6" spans="1:12" ht="18.75" x14ac:dyDescent="0.25">
      <c r="A6" s="54">
        <f>A4+1</f>
        <v>3</v>
      </c>
      <c r="B6" s="275" t="s">
        <v>146</v>
      </c>
      <c r="C6" s="276"/>
      <c r="D6" s="276"/>
      <c r="E6" s="277"/>
      <c r="F6" s="115"/>
      <c r="G6" s="116"/>
      <c r="H6" s="20"/>
      <c r="I6" s="20"/>
      <c r="L6" s="8"/>
    </row>
    <row r="7" spans="1:12" ht="16.5" thickBot="1" x14ac:dyDescent="0.3">
      <c r="A7" s="54">
        <f>A6+1</f>
        <v>4</v>
      </c>
      <c r="B7" s="124"/>
      <c r="C7" s="285" t="s">
        <v>139</v>
      </c>
      <c r="D7" s="268"/>
      <c r="E7" s="138">
        <f>E4*12</f>
        <v>2880000</v>
      </c>
      <c r="F7" s="122">
        <f>E7/E$3</f>
        <v>48</v>
      </c>
      <c r="G7" s="123">
        <f>E7/E$16</f>
        <v>0.30366293414310114</v>
      </c>
      <c r="H7" s="20"/>
      <c r="I7" s="20"/>
      <c r="K7" s="113"/>
    </row>
    <row r="8" spans="1:12" ht="16.5" thickTop="1" x14ac:dyDescent="0.25">
      <c r="A8" s="54">
        <f>A7+1</f>
        <v>5</v>
      </c>
      <c r="B8" s="137"/>
      <c r="C8" s="281" t="s">
        <v>23</v>
      </c>
      <c r="D8" s="282"/>
      <c r="E8" s="128">
        <f>SUM(E7:E7)</f>
        <v>2880000</v>
      </c>
      <c r="F8" s="129">
        <f>E8/E$3</f>
        <v>48</v>
      </c>
      <c r="G8" s="130">
        <f>E8/E$16</f>
        <v>0.30366293414310114</v>
      </c>
      <c r="H8" s="20"/>
      <c r="I8" s="20"/>
    </row>
    <row r="9" spans="1:12" x14ac:dyDescent="0.25">
      <c r="A9" s="54"/>
      <c r="B9" s="275" t="s">
        <v>24</v>
      </c>
      <c r="C9" s="276"/>
      <c r="D9" s="277"/>
      <c r="E9" s="120"/>
      <c r="F9" s="119"/>
      <c r="G9" s="116"/>
      <c r="H9" s="20"/>
      <c r="I9" s="20"/>
    </row>
    <row r="10" spans="1:12" x14ac:dyDescent="0.25">
      <c r="A10" s="54">
        <f>A8+1</f>
        <v>6</v>
      </c>
      <c r="B10" s="117"/>
      <c r="C10" s="283" t="s">
        <v>35</v>
      </c>
      <c r="D10" s="284"/>
      <c r="E10" s="120">
        <f>E3*F10</f>
        <v>5400000</v>
      </c>
      <c r="F10" s="119">
        <v>90</v>
      </c>
      <c r="G10" s="116">
        <f t="shared" ref="G10:G16" si="0">E10/E$16</f>
        <v>0.56936800151831468</v>
      </c>
      <c r="H10" s="20"/>
      <c r="I10" s="20"/>
    </row>
    <row r="11" spans="1:12" x14ac:dyDescent="0.25">
      <c r="A11" s="54">
        <f t="shared" ref="A11:A28" si="1">A10+1</f>
        <v>7</v>
      </c>
      <c r="B11" s="117"/>
      <c r="C11" s="283" t="s">
        <v>22</v>
      </c>
      <c r="D11" s="284"/>
      <c r="E11" s="120">
        <f>E3*F11</f>
        <v>900000</v>
      </c>
      <c r="F11" s="119">
        <v>15</v>
      </c>
      <c r="G11" s="116">
        <f t="shared" si="0"/>
        <v>9.4894666919719109E-2</v>
      </c>
      <c r="H11" s="20"/>
      <c r="I11" s="20"/>
    </row>
    <row r="12" spans="1:12" x14ac:dyDescent="0.25">
      <c r="A12" s="54">
        <f t="shared" si="1"/>
        <v>8</v>
      </c>
      <c r="B12" s="117"/>
      <c r="C12" s="286" t="s">
        <v>161</v>
      </c>
      <c r="D12" s="284"/>
      <c r="E12" s="136">
        <f>E4*3+650000</f>
        <v>1370000</v>
      </c>
      <c r="F12" s="119">
        <f>E12/E$3</f>
        <v>22.833333333333332</v>
      </c>
      <c r="G12" s="116">
        <f t="shared" si="0"/>
        <v>0.14445077075557242</v>
      </c>
      <c r="H12" s="20"/>
      <c r="I12" s="20"/>
    </row>
    <row r="13" spans="1:12" x14ac:dyDescent="0.25">
      <c r="A13" s="54">
        <f t="shared" si="1"/>
        <v>9</v>
      </c>
      <c r="B13" s="117"/>
      <c r="C13" s="283" t="s">
        <v>25</v>
      </c>
      <c r="D13" s="284"/>
      <c r="E13" s="120">
        <v>500000</v>
      </c>
      <c r="F13" s="119">
        <f>E13/E$3</f>
        <v>8.3333333333333339</v>
      </c>
      <c r="G13" s="116">
        <f t="shared" si="0"/>
        <v>5.2719259399843954E-2</v>
      </c>
      <c r="H13" s="20"/>
      <c r="I13" s="20"/>
    </row>
    <row r="14" spans="1:12" x14ac:dyDescent="0.25">
      <c r="A14" s="54">
        <f>A13+1</f>
        <v>10</v>
      </c>
      <c r="B14" s="117"/>
      <c r="C14" s="286" t="s">
        <v>140</v>
      </c>
      <c r="D14" s="284"/>
      <c r="E14" s="120">
        <f>240*3500</f>
        <v>840000</v>
      </c>
      <c r="F14" s="119">
        <f>E14/E$3</f>
        <v>14</v>
      </c>
      <c r="G14" s="116">
        <f t="shared" si="0"/>
        <v>8.8568355791737843E-2</v>
      </c>
      <c r="H14" s="20"/>
      <c r="I14" s="20"/>
    </row>
    <row r="15" spans="1:12" ht="16.5" thickBot="1" x14ac:dyDescent="0.3">
      <c r="A15" s="54">
        <f>A14+1</f>
        <v>11</v>
      </c>
      <c r="B15" s="124"/>
      <c r="C15" s="267" t="s">
        <v>63</v>
      </c>
      <c r="D15" s="268"/>
      <c r="E15" s="121">
        <f>ROUND(0.05263*SUM(E10:E14),-2)</f>
        <v>474200</v>
      </c>
      <c r="F15" s="122">
        <f>E15/E$3</f>
        <v>7.9033333333333333</v>
      </c>
      <c r="G15" s="123">
        <f t="shared" si="0"/>
        <v>4.9998945614812003E-2</v>
      </c>
      <c r="H15" s="20"/>
      <c r="I15" s="20"/>
    </row>
    <row r="16" spans="1:12" ht="16.5" thickTop="1" x14ac:dyDescent="0.25">
      <c r="A16" s="54">
        <f>A15+1</f>
        <v>12</v>
      </c>
      <c r="B16" s="137"/>
      <c r="C16" s="281" t="s">
        <v>23</v>
      </c>
      <c r="D16" s="282"/>
      <c r="E16" s="128">
        <f>SUM(E10:E15)</f>
        <v>9484200</v>
      </c>
      <c r="F16" s="129">
        <f>E16/E$3</f>
        <v>158.07</v>
      </c>
      <c r="G16" s="130">
        <f t="shared" si="0"/>
        <v>1</v>
      </c>
      <c r="H16" s="20"/>
      <c r="I16" s="20"/>
    </row>
    <row r="17" spans="1:16" x14ac:dyDescent="0.25">
      <c r="A17" s="54"/>
      <c r="B17" s="275" t="s">
        <v>26</v>
      </c>
      <c r="C17" s="276"/>
      <c r="D17" s="277"/>
      <c r="E17" s="120"/>
      <c r="F17" s="119"/>
      <c r="G17" s="116"/>
      <c r="H17" s="20"/>
      <c r="I17" s="20"/>
    </row>
    <row r="18" spans="1:16" x14ac:dyDescent="0.25">
      <c r="A18" s="54">
        <f>A16+1</f>
        <v>13</v>
      </c>
      <c r="B18" s="117"/>
      <c r="C18" s="283" t="s">
        <v>34</v>
      </c>
      <c r="D18" s="284"/>
      <c r="E18" s="120">
        <v>700000</v>
      </c>
      <c r="F18" s="119">
        <f>E18/E$3</f>
        <v>11.666666666666666</v>
      </c>
      <c r="G18" s="116">
        <f>E18/E$16</f>
        <v>7.3806963159781525E-2</v>
      </c>
      <c r="H18" s="20"/>
      <c r="I18" s="20"/>
    </row>
    <row r="19" spans="1:16" x14ac:dyDescent="0.25">
      <c r="A19" s="54">
        <f t="shared" si="1"/>
        <v>14</v>
      </c>
      <c r="B19" s="117"/>
      <c r="C19" s="283" t="s">
        <v>67</v>
      </c>
      <c r="D19" s="284"/>
      <c r="E19" s="120"/>
      <c r="F19" s="119"/>
      <c r="G19" s="116"/>
      <c r="H19" s="20"/>
      <c r="I19" s="20"/>
      <c r="P19"/>
    </row>
    <row r="20" spans="1:16" x14ac:dyDescent="0.25">
      <c r="A20" s="54">
        <f t="shared" si="1"/>
        <v>15</v>
      </c>
      <c r="B20" s="117"/>
      <c r="C20" s="118"/>
      <c r="D20" s="118" t="s">
        <v>27</v>
      </c>
      <c r="E20" s="120">
        <v>256852</v>
      </c>
      <c r="F20" s="119">
        <f t="shared" ref="F20:F28" si="2">E20/E$3</f>
        <v>4.2808666666666664</v>
      </c>
      <c r="G20" s="116">
        <f t="shared" ref="G20:G27" si="3">E20/E$16</f>
        <v>2.7082094430737436E-2</v>
      </c>
      <c r="H20" s="20"/>
      <c r="I20" s="20"/>
      <c r="P20"/>
    </row>
    <row r="21" spans="1:16" x14ac:dyDescent="0.25">
      <c r="A21" s="54">
        <f t="shared" si="1"/>
        <v>16</v>
      </c>
      <c r="B21" s="117"/>
      <c r="C21" s="118"/>
      <c r="D21" s="112" t="s">
        <v>141</v>
      </c>
      <c r="E21" s="120">
        <v>190587</v>
      </c>
      <c r="F21" s="119">
        <f t="shared" si="2"/>
        <v>3.17645</v>
      </c>
      <c r="G21" s="116">
        <f t="shared" si="3"/>
        <v>2.0095210982476117E-2</v>
      </c>
      <c r="H21" s="20"/>
      <c r="I21" s="20"/>
      <c r="P21"/>
    </row>
    <row r="22" spans="1:16" x14ac:dyDescent="0.25">
      <c r="A22" s="54">
        <f t="shared" si="1"/>
        <v>17</v>
      </c>
      <c r="B22" s="117"/>
      <c r="C22" s="118"/>
      <c r="D22" s="118" t="s">
        <v>28</v>
      </c>
      <c r="E22" s="120">
        <v>20000</v>
      </c>
      <c r="F22" s="119">
        <f t="shared" si="2"/>
        <v>0.33333333333333331</v>
      </c>
      <c r="G22" s="116">
        <f t="shared" si="3"/>
        <v>2.1087703759937581E-3</v>
      </c>
      <c r="H22" s="20"/>
      <c r="I22" s="20"/>
      <c r="P22"/>
    </row>
    <row r="23" spans="1:16" x14ac:dyDescent="0.25">
      <c r="A23" s="54">
        <f t="shared" si="1"/>
        <v>18</v>
      </c>
      <c r="B23" s="117"/>
      <c r="C23" s="118"/>
      <c r="D23" s="118" t="s">
        <v>29</v>
      </c>
      <c r="E23" s="120">
        <v>18765</v>
      </c>
      <c r="F23" s="119">
        <f t="shared" si="2"/>
        <v>0.31274999999999997</v>
      </c>
      <c r="G23" s="116">
        <f t="shared" si="3"/>
        <v>1.9785538052761436E-3</v>
      </c>
      <c r="H23" s="20"/>
      <c r="I23" s="20"/>
      <c r="P23"/>
    </row>
    <row r="24" spans="1:16" x14ac:dyDescent="0.25">
      <c r="A24" s="54">
        <f t="shared" si="1"/>
        <v>19</v>
      </c>
      <c r="B24" s="117"/>
      <c r="C24" s="118"/>
      <c r="D24" s="118" t="s">
        <v>30</v>
      </c>
      <c r="E24" s="120">
        <v>93241</v>
      </c>
      <c r="F24" s="119">
        <f t="shared" si="2"/>
        <v>1.5540166666666666</v>
      </c>
      <c r="G24" s="116">
        <f t="shared" si="3"/>
        <v>9.8311929314016996E-3</v>
      </c>
      <c r="H24" s="20"/>
      <c r="I24" s="20"/>
    </row>
    <row r="25" spans="1:16" x14ac:dyDescent="0.25">
      <c r="A25" s="54">
        <f t="shared" si="1"/>
        <v>20</v>
      </c>
      <c r="B25" s="117"/>
      <c r="C25" s="118"/>
      <c r="D25" s="118" t="s">
        <v>31</v>
      </c>
      <c r="E25" s="120">
        <v>113296</v>
      </c>
      <c r="F25" s="119">
        <f t="shared" si="2"/>
        <v>1.8882666666666668</v>
      </c>
      <c r="G25" s="116">
        <f t="shared" si="3"/>
        <v>1.194576242592944E-2</v>
      </c>
      <c r="H25" s="20"/>
      <c r="I25" s="20"/>
    </row>
    <row r="26" spans="1:16" x14ac:dyDescent="0.25">
      <c r="A26" s="54">
        <f t="shared" si="1"/>
        <v>21</v>
      </c>
      <c r="B26" s="117"/>
      <c r="C26" s="286" t="s">
        <v>143</v>
      </c>
      <c r="D26" s="284"/>
      <c r="E26" s="120">
        <f>0.1*'Figure 2-11'!F12</f>
        <v>210960</v>
      </c>
      <c r="F26" s="119">
        <f t="shared" si="2"/>
        <v>3.516</v>
      </c>
      <c r="G26" s="116">
        <f t="shared" si="3"/>
        <v>2.2243309925982158E-2</v>
      </c>
      <c r="H26" s="20"/>
      <c r="I26" s="20"/>
    </row>
    <row r="27" spans="1:16" ht="16.5" thickBot="1" x14ac:dyDescent="0.3">
      <c r="A27" s="54">
        <f t="shared" si="1"/>
        <v>22</v>
      </c>
      <c r="B27" s="124"/>
      <c r="C27" s="267" t="s">
        <v>62</v>
      </c>
      <c r="D27" s="268"/>
      <c r="E27" s="121">
        <f>ROUND(0.05*E16,-2)</f>
        <v>474200</v>
      </c>
      <c r="F27" s="122">
        <f t="shared" si="2"/>
        <v>7.9033333333333333</v>
      </c>
      <c r="G27" s="123">
        <f t="shared" si="3"/>
        <v>4.9998945614812003E-2</v>
      </c>
      <c r="H27" s="20"/>
      <c r="I27" s="20"/>
    </row>
    <row r="28" spans="1:16" ht="16.5" thickTop="1" x14ac:dyDescent="0.25">
      <c r="A28" s="54">
        <f t="shared" si="1"/>
        <v>23</v>
      </c>
      <c r="B28" s="137"/>
      <c r="C28" s="281" t="s">
        <v>23</v>
      </c>
      <c r="D28" s="282"/>
      <c r="E28" s="128">
        <f>SUM(E18:E27)</f>
        <v>2077901</v>
      </c>
      <c r="F28" s="129">
        <f t="shared" si="2"/>
        <v>34.631683333333335</v>
      </c>
      <c r="G28" s="130">
        <f>E28/E$16</f>
        <v>0.21909080365239028</v>
      </c>
      <c r="H28" s="20"/>
      <c r="I28" s="20"/>
    </row>
    <row r="29" spans="1:16" s="10" customFormat="1" x14ac:dyDescent="0.25">
      <c r="A29" s="54"/>
      <c r="B29" s="275" t="s">
        <v>32</v>
      </c>
      <c r="C29" s="276"/>
      <c r="D29" s="277"/>
      <c r="E29" s="120"/>
      <c r="F29" s="119"/>
      <c r="G29" s="116"/>
      <c r="H29" s="45"/>
      <c r="I29" s="45"/>
    </row>
    <row r="30" spans="1:16" x14ac:dyDescent="0.25">
      <c r="A30" s="54">
        <f>A28+1</f>
        <v>24</v>
      </c>
      <c r="B30" s="117"/>
      <c r="C30" s="283" t="s">
        <v>42</v>
      </c>
      <c r="D30" s="284"/>
      <c r="E30" s="120">
        <v>1000000</v>
      </c>
      <c r="F30" s="119">
        <f>E30/E$3</f>
        <v>16.666666666666668</v>
      </c>
      <c r="G30" s="116">
        <f>E30/E$16</f>
        <v>0.10543851879968791</v>
      </c>
      <c r="H30" s="20"/>
      <c r="I30" s="20"/>
    </row>
    <row r="31" spans="1:16" x14ac:dyDescent="0.25">
      <c r="A31" s="54"/>
      <c r="B31" s="117"/>
      <c r="C31" s="286" t="s">
        <v>142</v>
      </c>
      <c r="D31" s="284"/>
      <c r="E31" s="120">
        <v>300000</v>
      </c>
      <c r="F31" s="119">
        <f>E31/E$3</f>
        <v>5</v>
      </c>
      <c r="G31" s="116">
        <f>E31/E$16</f>
        <v>3.163155563990637E-2</v>
      </c>
      <c r="H31" s="20"/>
      <c r="I31" s="20"/>
    </row>
    <row r="32" spans="1:16" ht="16.5" thickBot="1" x14ac:dyDescent="0.3">
      <c r="A32" s="54">
        <f>A30+1</f>
        <v>25</v>
      </c>
      <c r="B32" s="124"/>
      <c r="C32" s="285" t="s">
        <v>144</v>
      </c>
      <c r="D32" s="268"/>
      <c r="E32" s="121">
        <v>427000</v>
      </c>
      <c r="F32" s="122">
        <f>E32/E$3</f>
        <v>7.1166666666666663</v>
      </c>
      <c r="G32" s="123">
        <f>E32/E$16</f>
        <v>4.5022247527466731E-2</v>
      </c>
      <c r="H32" s="20"/>
      <c r="I32" s="20"/>
    </row>
    <row r="33" spans="1:9" ht="16.5" thickTop="1" x14ac:dyDescent="0.25">
      <c r="A33" s="54">
        <f>A32+1</f>
        <v>26</v>
      </c>
      <c r="B33" s="137"/>
      <c r="C33" s="281" t="s">
        <v>23</v>
      </c>
      <c r="D33" s="282"/>
      <c r="E33" s="128">
        <f>SUM(E30:E32)</f>
        <v>1727000</v>
      </c>
      <c r="F33" s="129">
        <f>E33/E$3</f>
        <v>28.783333333333335</v>
      </c>
      <c r="G33" s="130">
        <f>E33/E$16</f>
        <v>0.18209232196706102</v>
      </c>
      <c r="H33" s="20"/>
      <c r="I33" s="20"/>
    </row>
    <row r="34" spans="1:9" ht="16.5" thickBot="1" x14ac:dyDescent="0.3">
      <c r="A34" s="54"/>
      <c r="B34" s="131"/>
      <c r="C34" s="132"/>
      <c r="D34" s="132"/>
      <c r="E34" s="133"/>
      <c r="F34" s="134"/>
      <c r="G34" s="135"/>
      <c r="H34" s="20"/>
      <c r="I34" s="20"/>
    </row>
    <row r="35" spans="1:9" ht="17.25" thickTop="1" thickBot="1" x14ac:dyDescent="0.3">
      <c r="A35" s="54">
        <f>A33+1</f>
        <v>27</v>
      </c>
      <c r="B35" s="278" t="s">
        <v>33</v>
      </c>
      <c r="C35" s="279"/>
      <c r="D35" s="280"/>
      <c r="E35" s="125">
        <f>E8+E16+E28+E33</f>
        <v>16169101</v>
      </c>
      <c r="F35" s="126">
        <f>E35/E$3</f>
        <v>269.4850166666667</v>
      </c>
      <c r="G35" s="127">
        <f>E35/E16</f>
        <v>1.7048460597625525</v>
      </c>
      <c r="H35" s="20"/>
      <c r="I35" s="20"/>
    </row>
    <row r="36" spans="1:9" ht="16.5" thickTop="1" x14ac:dyDescent="0.25">
      <c r="A36" s="20"/>
      <c r="B36" s="20" t="s">
        <v>145</v>
      </c>
      <c r="C36" s="20"/>
      <c r="D36" s="25"/>
      <c r="E36" s="44"/>
      <c r="F36" s="34"/>
      <c r="G36" s="43"/>
      <c r="H36" s="20"/>
      <c r="I36" s="20"/>
    </row>
    <row r="37" spans="1:9" x14ac:dyDescent="0.25">
      <c r="A37" s="20"/>
      <c r="B37" s="25"/>
      <c r="C37" s="20"/>
      <c r="D37" s="25"/>
      <c r="E37" s="44"/>
      <c r="F37" s="34"/>
      <c r="G37" s="43"/>
      <c r="H37" s="20"/>
      <c r="I37" s="20"/>
    </row>
    <row r="38" spans="1:9" s="242" customFormat="1" x14ac:dyDescent="0.25">
      <c r="B38" s="243"/>
      <c r="C38" s="244"/>
      <c r="E38" s="245"/>
      <c r="F38" s="246"/>
      <c r="G38" s="247"/>
    </row>
    <row r="39" spans="1:9" s="242" customFormat="1" x14ac:dyDescent="0.25">
      <c r="B39" s="248"/>
      <c r="C39" s="249"/>
      <c r="D39" s="249"/>
      <c r="E39" s="249"/>
      <c r="F39" s="250"/>
      <c r="G39" s="247"/>
    </row>
    <row r="40" spans="1:9" x14ac:dyDescent="0.25">
      <c r="B40" s="11"/>
      <c r="C40" s="11"/>
      <c r="D40" s="11"/>
      <c r="E40" s="11"/>
      <c r="F40" s="12"/>
    </row>
    <row r="41" spans="1:9" x14ac:dyDescent="0.25">
      <c r="C41" s="9"/>
    </row>
  </sheetData>
  <mergeCells count="28">
    <mergeCell ref="B1:G1"/>
    <mergeCell ref="C7:D7"/>
    <mergeCell ref="C27:D27"/>
    <mergeCell ref="C18:D18"/>
    <mergeCell ref="C12:D12"/>
    <mergeCell ref="C10:D10"/>
    <mergeCell ref="B9:D9"/>
    <mergeCell ref="C26:D26"/>
    <mergeCell ref="B2:G2"/>
    <mergeCell ref="C19:D19"/>
    <mergeCell ref="C8:D8"/>
    <mergeCell ref="B17:D17"/>
    <mergeCell ref="C13:D13"/>
    <mergeCell ref="C16:D16"/>
    <mergeCell ref="C14:D14"/>
    <mergeCell ref="C11:D11"/>
    <mergeCell ref="B35:D35"/>
    <mergeCell ref="C28:D28"/>
    <mergeCell ref="C30:D30"/>
    <mergeCell ref="C33:D33"/>
    <mergeCell ref="B29:D29"/>
    <mergeCell ref="C32:D32"/>
    <mergeCell ref="C31:D31"/>
    <mergeCell ref="C15:D15"/>
    <mergeCell ref="B4:D4"/>
    <mergeCell ref="B3:D3"/>
    <mergeCell ref="B5:D5"/>
    <mergeCell ref="B6:E6"/>
  </mergeCells>
  <phoneticPr fontId="0" type="noConversion"/>
  <pageMargins left="0.75" right="0.75" top="1" bottom="1" header="0.5" footer="0.5"/>
  <headerFooter alignWithMargins="0">
    <oddHeader>&amp;C&amp;F&amp;A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9" sqref="F9"/>
    </sheetView>
  </sheetViews>
  <sheetFormatPr defaultColWidth="6.875" defaultRowHeight="15.75" x14ac:dyDescent="0.25"/>
  <cols>
    <col min="1" max="1" width="4.125" style="2" customWidth="1"/>
    <col min="2" max="2" width="6.875" style="2" customWidth="1"/>
    <col min="3" max="3" width="36" style="2" customWidth="1"/>
    <col min="4" max="4" width="11.625" style="2" customWidth="1"/>
    <col min="5" max="5" width="13.5" style="2" customWidth="1"/>
    <col min="6" max="6" width="15.375" style="2" customWidth="1"/>
    <col min="7" max="7" width="13.625" style="2" customWidth="1"/>
    <col min="8" max="9" width="6.875" style="2" customWidth="1"/>
    <col min="10" max="10" width="21.5" style="2" customWidth="1"/>
    <col min="11" max="11" width="16.5" style="2" customWidth="1"/>
    <col min="12" max="16384" width="6.875" style="2"/>
  </cols>
  <sheetData>
    <row r="1" spans="1:7" x14ac:dyDescent="0.25">
      <c r="A1" s="169"/>
      <c r="B1" s="295" t="s">
        <v>84</v>
      </c>
      <c r="C1" s="295"/>
      <c r="D1" s="295"/>
      <c r="E1" s="295"/>
      <c r="F1" s="295"/>
      <c r="G1" s="296"/>
    </row>
    <row r="2" spans="1:7" x14ac:dyDescent="0.25">
      <c r="A2" s="170"/>
      <c r="B2" s="297" t="s">
        <v>93</v>
      </c>
      <c r="C2" s="297"/>
      <c r="D2" s="297"/>
      <c r="E2" s="297"/>
      <c r="F2" s="297"/>
      <c r="G2" s="298"/>
    </row>
    <row r="3" spans="1:7" x14ac:dyDescent="0.25">
      <c r="A3" s="154"/>
      <c r="B3" s="276"/>
      <c r="C3" s="276"/>
      <c r="D3" s="276"/>
      <c r="E3" s="47" t="s">
        <v>94</v>
      </c>
      <c r="F3" s="228" t="s">
        <v>163</v>
      </c>
      <c r="G3" s="256" t="s">
        <v>164</v>
      </c>
    </row>
    <row r="4" spans="1:7" x14ac:dyDescent="0.25">
      <c r="A4" s="154">
        <v>1</v>
      </c>
      <c r="B4" s="276" t="s">
        <v>80</v>
      </c>
      <c r="C4" s="276"/>
      <c r="D4" s="217"/>
      <c r="E4" s="219"/>
      <c r="F4" s="220"/>
      <c r="G4" s="221">
        <f>'Figure 2-11'!F12</f>
        <v>2109600</v>
      </c>
    </row>
    <row r="5" spans="1:7" x14ac:dyDescent="0.25">
      <c r="A5" s="154">
        <f>A4+1</f>
        <v>2</v>
      </c>
      <c r="B5" s="294" t="s">
        <v>89</v>
      </c>
      <c r="C5" s="294"/>
      <c r="D5" s="46"/>
      <c r="E5" s="47"/>
      <c r="F5" s="48"/>
      <c r="G5" s="171"/>
    </row>
    <row r="6" spans="1:7" x14ac:dyDescent="0.25">
      <c r="A6" s="154">
        <f t="shared" ref="A6:A8" si="0">A5+1</f>
        <v>3</v>
      </c>
      <c r="B6" s="290" t="s">
        <v>51</v>
      </c>
      <c r="C6" s="290"/>
      <c r="D6" s="161"/>
      <c r="E6" s="158">
        <f>'Figure 2-11'!D7</f>
        <v>60000</v>
      </c>
      <c r="F6" s="39">
        <f>'Figure 2-16'!I39</f>
        <v>0.75</v>
      </c>
      <c r="G6" s="172">
        <f>E6*F6</f>
        <v>45000</v>
      </c>
    </row>
    <row r="7" spans="1:7" x14ac:dyDescent="0.25">
      <c r="A7" s="154">
        <f t="shared" si="0"/>
        <v>4</v>
      </c>
      <c r="B7" s="291" t="s">
        <v>2</v>
      </c>
      <c r="C7" s="291"/>
      <c r="D7" s="161"/>
      <c r="E7" s="158">
        <f>'Figure 2-11'!D9</f>
        <v>60000</v>
      </c>
      <c r="F7" s="39">
        <f>'Figure 2-11'!E9</f>
        <v>9</v>
      </c>
      <c r="G7" s="172">
        <f>E7*F7</f>
        <v>540000</v>
      </c>
    </row>
    <row r="8" spans="1:7" s="5" customFormat="1" x14ac:dyDescent="0.25">
      <c r="A8" s="154">
        <f t="shared" si="0"/>
        <v>5</v>
      </c>
      <c r="B8" s="291" t="s">
        <v>68</v>
      </c>
      <c r="C8" s="291"/>
      <c r="D8" s="161"/>
      <c r="E8" s="173"/>
      <c r="F8" s="39"/>
      <c r="G8" s="174">
        <v>30000</v>
      </c>
    </row>
    <row r="9" spans="1:7" s="5" customFormat="1" x14ac:dyDescent="0.25">
      <c r="A9" s="154">
        <f>A8+1</f>
        <v>6</v>
      </c>
      <c r="B9" s="292" t="s">
        <v>95</v>
      </c>
      <c r="C9" s="291"/>
      <c r="D9" s="161"/>
      <c r="E9" s="173"/>
      <c r="F9" s="39">
        <v>0.5</v>
      </c>
      <c r="G9" s="174">
        <f>F9*'Figure 2-11'!D7</f>
        <v>30000</v>
      </c>
    </row>
    <row r="10" spans="1:7" x14ac:dyDescent="0.25">
      <c r="A10" s="154">
        <f>A9+1</f>
        <v>7</v>
      </c>
      <c r="B10" s="291" t="s">
        <v>147</v>
      </c>
      <c r="C10" s="291"/>
      <c r="D10" s="175">
        <v>0.25</v>
      </c>
      <c r="E10" s="158">
        <f>'Figure 2-11'!D6*D10/5</f>
        <v>1000</v>
      </c>
      <c r="F10" s="39">
        <v>30</v>
      </c>
      <c r="G10" s="172">
        <f>E10*F10</f>
        <v>30000</v>
      </c>
    </row>
    <row r="11" spans="1:7" ht="16.5" customHeight="1" x14ac:dyDescent="0.25">
      <c r="A11" s="154">
        <f>A10+1</f>
        <v>8</v>
      </c>
      <c r="B11" s="293" t="s">
        <v>96</v>
      </c>
      <c r="C11" s="293"/>
      <c r="D11" s="37"/>
      <c r="E11" s="37"/>
      <c r="F11" s="36"/>
      <c r="G11" s="176">
        <f>SUM(G6:G10)</f>
        <v>675000</v>
      </c>
    </row>
    <row r="12" spans="1:7" x14ac:dyDescent="0.25">
      <c r="A12" s="154"/>
      <c r="B12" s="160"/>
      <c r="C12" s="151"/>
      <c r="D12" s="161"/>
      <c r="E12" s="161"/>
      <c r="F12" s="151"/>
      <c r="G12" s="177"/>
    </row>
    <row r="13" spans="1:7" ht="16.5" thickBot="1" x14ac:dyDescent="0.3">
      <c r="A13" s="162">
        <f>A11+1</f>
        <v>9</v>
      </c>
      <c r="B13" s="289" t="s">
        <v>9</v>
      </c>
      <c r="C13" s="289"/>
      <c r="D13" s="178"/>
      <c r="E13" s="179"/>
      <c r="F13" s="180"/>
      <c r="G13" s="181">
        <f>G4-G11</f>
        <v>1434600</v>
      </c>
    </row>
  </sheetData>
  <mergeCells count="12">
    <mergeCell ref="B5:C5"/>
    <mergeCell ref="B1:G1"/>
    <mergeCell ref="B2:G2"/>
    <mergeCell ref="B3:D3"/>
    <mergeCell ref="B4:C4"/>
    <mergeCell ref="B13:C13"/>
    <mergeCell ref="B6:C6"/>
    <mergeCell ref="B7:C7"/>
    <mergeCell ref="B8:C8"/>
    <mergeCell ref="B9:C9"/>
    <mergeCell ref="B10:C10"/>
    <mergeCell ref="B11:C11"/>
  </mergeCells>
  <pageMargins left="0.75" right="0.75" top="1" bottom="1" header="0.5" footer="0.5"/>
  <headerFooter alignWithMargins="0">
    <oddHeader>&amp;C&amp;F&amp;A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23" sqref="D23"/>
    </sheetView>
  </sheetViews>
  <sheetFormatPr defaultColWidth="6.875" defaultRowHeight="15.75" x14ac:dyDescent="0.25"/>
  <cols>
    <col min="1" max="1" width="4.125" style="2" customWidth="1"/>
    <col min="2" max="2" width="6.875" style="2" customWidth="1"/>
    <col min="3" max="3" width="41.25" style="2" customWidth="1"/>
    <col min="4" max="4" width="11.625" style="2" customWidth="1"/>
    <col min="5" max="5" width="13.5" style="2" customWidth="1"/>
    <col min="6" max="6" width="15" style="2" customWidth="1"/>
    <col min="7" max="7" width="13.625" style="2" customWidth="1"/>
    <col min="8" max="9" width="6.875" style="2" customWidth="1"/>
    <col min="10" max="10" width="21.5" style="2" customWidth="1"/>
    <col min="11" max="11" width="16.5" style="2" customWidth="1"/>
    <col min="12" max="16384" width="6.875" style="2"/>
  </cols>
  <sheetData>
    <row r="1" spans="1:10" x14ac:dyDescent="0.25">
      <c r="A1" s="182"/>
      <c r="B1" s="300" t="s">
        <v>81</v>
      </c>
      <c r="C1" s="300"/>
      <c r="D1" s="300"/>
      <c r="E1" s="300"/>
      <c r="F1" s="301"/>
      <c r="G1" s="32"/>
    </row>
    <row r="2" spans="1:10" x14ac:dyDescent="0.25">
      <c r="A2" s="154"/>
      <c r="B2" s="297" t="s">
        <v>97</v>
      </c>
      <c r="C2" s="297"/>
      <c r="D2" s="297"/>
      <c r="E2" s="297"/>
      <c r="F2" s="298"/>
      <c r="G2" s="150"/>
      <c r="J2" s="64"/>
    </row>
    <row r="3" spans="1:10" x14ac:dyDescent="0.25">
      <c r="A3" s="154"/>
      <c r="B3" s="302"/>
      <c r="C3" s="302"/>
      <c r="D3" s="215"/>
      <c r="E3" s="38"/>
      <c r="F3" s="257" t="s">
        <v>165</v>
      </c>
      <c r="G3" s="108"/>
    </row>
    <row r="4" spans="1:10" x14ac:dyDescent="0.25">
      <c r="A4" s="154">
        <v>1</v>
      </c>
      <c r="B4" s="303" t="s">
        <v>98</v>
      </c>
      <c r="C4" s="304"/>
      <c r="D4" s="145">
        <v>0.06</v>
      </c>
      <c r="E4" s="57">
        <f>'Figure 2-13'!G13/D4</f>
        <v>23910000</v>
      </c>
      <c r="F4" s="183">
        <f>E4/'Figure 2-11'!D$7</f>
        <v>398.5</v>
      </c>
    </row>
    <row r="5" spans="1:10" x14ac:dyDescent="0.25">
      <c r="A5" s="154">
        <f t="shared" ref="A5:A8" si="0">A4+1</f>
        <v>2</v>
      </c>
      <c r="B5" s="305"/>
      <c r="C5" s="306"/>
      <c r="D5" s="56"/>
      <c r="E5" s="57"/>
      <c r="F5" s="184"/>
    </row>
    <row r="6" spans="1:10" s="5" customFormat="1" x14ac:dyDescent="0.25">
      <c r="A6" s="154">
        <f>A5+1</f>
        <v>3</v>
      </c>
      <c r="B6" s="307" t="s">
        <v>15</v>
      </c>
      <c r="C6" s="307"/>
      <c r="D6" s="63"/>
      <c r="E6" s="57">
        <f>-'Figure 2-12'!E35</f>
        <v>-16169101</v>
      </c>
      <c r="F6" s="183">
        <f>E6/'Figure 2-11'!D$7</f>
        <v>-269.4850166666667</v>
      </c>
    </row>
    <row r="7" spans="1:10" x14ac:dyDescent="0.25">
      <c r="A7" s="154">
        <f t="shared" si="0"/>
        <v>4</v>
      </c>
      <c r="B7" s="308"/>
      <c r="C7" s="308"/>
      <c r="D7" s="63"/>
      <c r="E7" s="63"/>
      <c r="F7" s="185"/>
    </row>
    <row r="8" spans="1:10" s="5" customFormat="1" x14ac:dyDescent="0.25">
      <c r="A8" s="154">
        <f t="shared" si="0"/>
        <v>5</v>
      </c>
      <c r="B8" s="309" t="s">
        <v>148</v>
      </c>
      <c r="C8" s="310"/>
      <c r="D8" s="63"/>
      <c r="E8" s="38">
        <f>SUM(E4:E7)</f>
        <v>7740899</v>
      </c>
      <c r="F8" s="183">
        <f>E8/'Figure 2-11'!D$7</f>
        <v>129.01498333333333</v>
      </c>
    </row>
    <row r="9" spans="1:10" s="5" customFormat="1" ht="16.5" thickBot="1" x14ac:dyDescent="0.3">
      <c r="A9" s="162">
        <f>A8+1</f>
        <v>6</v>
      </c>
      <c r="B9" s="299" t="s">
        <v>167</v>
      </c>
      <c r="C9" s="299"/>
      <c r="D9" s="186"/>
      <c r="E9" s="187">
        <f>-E8/E6</f>
        <v>0.47874640649470862</v>
      </c>
      <c r="F9" s="188"/>
    </row>
  </sheetData>
  <mergeCells count="9">
    <mergeCell ref="B9:C9"/>
    <mergeCell ref="B1:F1"/>
    <mergeCell ref="B2:F2"/>
    <mergeCell ref="B3:C3"/>
    <mergeCell ref="B4:C4"/>
    <mergeCell ref="B5:C5"/>
    <mergeCell ref="B6:C6"/>
    <mergeCell ref="B7:C7"/>
    <mergeCell ref="B8:C8"/>
  </mergeCells>
  <pageMargins left="0.75" right="0.75" top="1" bottom="1" header="0.5" footer="0.5"/>
  <headerFooter alignWithMargins="0">
    <oddHeader>&amp;C&amp;F&amp;A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5" sqref="E5"/>
    </sheetView>
  </sheetViews>
  <sheetFormatPr defaultColWidth="6.875" defaultRowHeight="15.75" x14ac:dyDescent="0.25"/>
  <cols>
    <col min="1" max="1" width="4.125" style="2" customWidth="1"/>
    <col min="2" max="2" width="6.875" style="2" customWidth="1"/>
    <col min="3" max="3" width="31.625" style="2" customWidth="1"/>
    <col min="4" max="4" width="11.625" style="2" customWidth="1"/>
    <col min="5" max="5" width="13.5" style="2" customWidth="1"/>
    <col min="6" max="6" width="14.125" style="2" customWidth="1"/>
    <col min="7" max="7" width="13.625" style="2" customWidth="1"/>
    <col min="8" max="9" width="6.875" style="2" customWidth="1"/>
    <col min="10" max="10" width="21.5" style="2" customWidth="1"/>
    <col min="11" max="11" width="16.5" style="2" customWidth="1"/>
    <col min="12" max="16384" width="6.875" style="2"/>
  </cols>
  <sheetData>
    <row r="1" spans="1:7" s="5" customFormat="1" x14ac:dyDescent="0.25">
      <c r="A1" s="182"/>
      <c r="B1" s="322" t="s">
        <v>83</v>
      </c>
      <c r="C1" s="322"/>
      <c r="D1" s="322"/>
      <c r="E1" s="322"/>
      <c r="F1" s="322"/>
      <c r="G1" s="323"/>
    </row>
    <row r="2" spans="1:7" s="5" customFormat="1" x14ac:dyDescent="0.25">
      <c r="A2" s="154"/>
      <c r="B2" s="264" t="s">
        <v>99</v>
      </c>
      <c r="C2" s="265"/>
      <c r="D2" s="265"/>
      <c r="E2" s="265"/>
      <c r="F2" s="265"/>
      <c r="G2" s="266"/>
    </row>
    <row r="3" spans="1:7" s="5" customFormat="1" x14ac:dyDescent="0.25">
      <c r="A3" s="154"/>
      <c r="B3" s="324" t="s">
        <v>149</v>
      </c>
      <c r="C3" s="325"/>
      <c r="D3" s="229">
        <v>6.7500000000000004E-2</v>
      </c>
      <c r="E3" s="189"/>
      <c r="F3" s="190"/>
      <c r="G3" s="191"/>
    </row>
    <row r="4" spans="1:7" s="5" customFormat="1" x14ac:dyDescent="0.25">
      <c r="A4" s="154"/>
      <c r="B4" s="326" t="s">
        <v>100</v>
      </c>
      <c r="C4" s="325"/>
      <c r="D4" s="230">
        <v>30</v>
      </c>
      <c r="E4" s="327" t="s">
        <v>107</v>
      </c>
      <c r="F4" s="328"/>
      <c r="G4" s="218" t="s">
        <v>47</v>
      </c>
    </row>
    <row r="5" spans="1:7" s="5" customFormat="1" ht="31.5" x14ac:dyDescent="0.25">
      <c r="A5" s="154"/>
      <c r="B5" s="316" t="s">
        <v>101</v>
      </c>
      <c r="C5" s="316"/>
      <c r="D5" s="231">
        <v>1.25</v>
      </c>
      <c r="E5" s="57">
        <f>'Figure 2-13'!G13</f>
        <v>1434600</v>
      </c>
      <c r="F5" s="146" t="s">
        <v>150</v>
      </c>
      <c r="G5" s="192">
        <f>-PV(D3,D4,E5/D5)</f>
        <v>14606701.335033167</v>
      </c>
    </row>
    <row r="6" spans="1:7" s="5" customFormat="1" ht="31.5" x14ac:dyDescent="0.25">
      <c r="A6" s="154"/>
      <c r="B6" s="303" t="s">
        <v>102</v>
      </c>
      <c r="C6" s="317"/>
      <c r="D6" s="232">
        <v>0.8</v>
      </c>
      <c r="E6" s="57">
        <f>'Figure 2-12'!E35</f>
        <v>16169101</v>
      </c>
      <c r="F6" s="147" t="s">
        <v>151</v>
      </c>
      <c r="G6" s="193">
        <f>D6*('Figure 2-12'!E35)</f>
        <v>12935280.800000001</v>
      </c>
    </row>
    <row r="7" spans="1:7" s="5" customFormat="1" ht="47.25" x14ac:dyDescent="0.25">
      <c r="A7" s="154"/>
      <c r="B7" s="303" t="s">
        <v>103</v>
      </c>
      <c r="C7" s="317"/>
      <c r="D7" s="233">
        <v>0.75</v>
      </c>
      <c r="E7" s="148">
        <f>'Figure 2-14'!E4</f>
        <v>23910000</v>
      </c>
      <c r="F7" s="147" t="s">
        <v>152</v>
      </c>
      <c r="G7" s="194">
        <f>D7*E7</f>
        <v>17932500</v>
      </c>
    </row>
    <row r="8" spans="1:7" s="5" customFormat="1" ht="16.5" thickBot="1" x14ac:dyDescent="0.3">
      <c r="A8" s="154"/>
      <c r="B8" s="318" t="s">
        <v>104</v>
      </c>
      <c r="C8" s="319"/>
      <c r="D8" s="319"/>
      <c r="E8" s="320" t="s">
        <v>74</v>
      </c>
      <c r="F8" s="321"/>
      <c r="G8" s="195">
        <f>IF(G5&lt;G6,G5,G6)</f>
        <v>12935280.800000001</v>
      </c>
    </row>
    <row r="9" spans="1:7" s="5" customFormat="1" x14ac:dyDescent="0.25">
      <c r="A9" s="154"/>
      <c r="B9" s="311" t="s">
        <v>105</v>
      </c>
      <c r="C9" s="312"/>
      <c r="D9" s="312"/>
      <c r="E9" s="57">
        <f>-PMT(D3,D4,G8)</f>
        <v>1016352.8868039447</v>
      </c>
      <c r="F9" s="190"/>
      <c r="G9" s="191"/>
    </row>
    <row r="10" spans="1:7" s="5" customFormat="1" x14ac:dyDescent="0.25">
      <c r="A10" s="154"/>
      <c r="B10" s="311" t="s">
        <v>108</v>
      </c>
      <c r="C10" s="312"/>
      <c r="D10" s="312"/>
      <c r="E10" s="58">
        <f>G8/'Figure 2-12'!E35</f>
        <v>0.8</v>
      </c>
      <c r="F10" s="190"/>
      <c r="G10" s="191"/>
    </row>
    <row r="11" spans="1:7" s="5" customFormat="1" ht="33.75" customHeight="1" thickBot="1" x14ac:dyDescent="0.3">
      <c r="A11" s="162"/>
      <c r="B11" s="313" t="s">
        <v>106</v>
      </c>
      <c r="C11" s="314"/>
      <c r="D11" s="315"/>
      <c r="E11" s="59">
        <f>'Figure 2-12'!E35-'Figure 2-15'!G8</f>
        <v>3233820.1999999993</v>
      </c>
      <c r="F11" s="196"/>
      <c r="G11" s="197"/>
    </row>
  </sheetData>
  <mergeCells count="13">
    <mergeCell ref="E8:F8"/>
    <mergeCell ref="B9:D9"/>
    <mergeCell ref="B1:G1"/>
    <mergeCell ref="B2:G2"/>
    <mergeCell ref="B3:C3"/>
    <mergeCell ref="B4:C4"/>
    <mergeCell ref="E4:F4"/>
    <mergeCell ref="B10:D10"/>
    <mergeCell ref="B11:D11"/>
    <mergeCell ref="B5:C5"/>
    <mergeCell ref="B6:C6"/>
    <mergeCell ref="B7:C7"/>
    <mergeCell ref="B8:D8"/>
  </mergeCells>
  <pageMargins left="0.75" right="0.75" top="1" bottom="1" header="0.5" footer="0.5"/>
  <headerFooter alignWithMargins="0">
    <oddHeader>&amp;C&amp;F&amp;A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workbookViewId="0">
      <pane xSplit="2" ySplit="2" topLeftCell="I14" activePane="bottomRight" state="frozen"/>
      <selection pane="topRight" activeCell="C1" sqref="C1"/>
      <selection pane="bottomLeft" activeCell="A4" sqref="A4"/>
      <selection pane="bottomRight" activeCell="N31" sqref="N31"/>
    </sheetView>
  </sheetViews>
  <sheetFormatPr defaultColWidth="9" defaultRowHeight="15.75" x14ac:dyDescent="0.25"/>
  <cols>
    <col min="1" max="1" width="5.125" style="17" customWidth="1"/>
    <col min="2" max="2" width="29.625" style="17" customWidth="1"/>
    <col min="3" max="3" width="14.125" style="17" customWidth="1"/>
    <col min="4" max="4" width="14" style="17" customWidth="1"/>
    <col min="5" max="5" width="12.625" style="17" bestFit="1" customWidth="1"/>
    <col min="6" max="6" width="11.375" style="17" customWidth="1"/>
    <col min="7" max="8" width="12.625" style="17" bestFit="1" customWidth="1"/>
    <col min="9" max="9" width="12.875" style="17" bestFit="1" customWidth="1"/>
    <col min="10" max="10" width="12.125" style="17" customWidth="1"/>
    <col min="11" max="12" width="12.875" style="17" bestFit="1" customWidth="1"/>
    <col min="13" max="13" width="12.625" style="17" bestFit="1" customWidth="1"/>
    <col min="14" max="14" width="14.125" style="17" bestFit="1" customWidth="1"/>
    <col min="15" max="16384" width="9" style="17"/>
  </cols>
  <sheetData>
    <row r="1" spans="1:15" x14ac:dyDescent="0.25">
      <c r="B1" s="330" t="s">
        <v>86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5" x14ac:dyDescent="0.25">
      <c r="A2" s="19"/>
      <c r="B2" s="331" t="s">
        <v>109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19"/>
    </row>
    <row r="3" spans="1:15" s="18" customFormat="1" x14ac:dyDescent="0.25">
      <c r="C3" s="60" t="s">
        <v>49</v>
      </c>
      <c r="D3" s="60" t="s">
        <v>52</v>
      </c>
      <c r="E3" s="26">
        <v>1</v>
      </c>
      <c r="F3" s="26">
        <f>E3+1</f>
        <v>2</v>
      </c>
      <c r="G3" s="26">
        <f t="shared" ref="G3:N3" si="0">F3+1</f>
        <v>3</v>
      </c>
      <c r="H3" s="26">
        <f t="shared" si="0"/>
        <v>4</v>
      </c>
      <c r="I3" s="26">
        <f t="shared" si="0"/>
        <v>5</v>
      </c>
      <c r="J3" s="26">
        <f t="shared" si="0"/>
        <v>6</v>
      </c>
      <c r="K3" s="26">
        <f t="shared" si="0"/>
        <v>7</v>
      </c>
      <c r="L3" s="26">
        <f t="shared" si="0"/>
        <v>8</v>
      </c>
      <c r="M3" s="27">
        <f t="shared" si="0"/>
        <v>9</v>
      </c>
      <c r="N3" s="28">
        <f t="shared" si="0"/>
        <v>10</v>
      </c>
    </row>
    <row r="4" spans="1:15" x14ac:dyDescent="0.25">
      <c r="A4" s="17">
        <v>1</v>
      </c>
      <c r="B4" s="19" t="s">
        <v>0</v>
      </c>
      <c r="D4" s="61"/>
      <c r="F4" s="327" t="s">
        <v>166</v>
      </c>
      <c r="G4" s="328"/>
      <c r="H4" s="328"/>
      <c r="I4" s="328"/>
      <c r="J4" s="328"/>
      <c r="K4" s="328"/>
      <c r="L4" s="328"/>
      <c r="M4" s="328"/>
      <c r="N4" s="328"/>
    </row>
    <row r="5" spans="1:15" x14ac:dyDescent="0.25">
      <c r="A5" s="17">
        <f t="shared" ref="A5:A27" si="1">A4+1</f>
        <v>2</v>
      </c>
      <c r="B5" s="19" t="s">
        <v>1</v>
      </c>
      <c r="C5" s="20"/>
      <c r="D5" s="20"/>
      <c r="E5" s="21"/>
      <c r="F5" s="327" t="s">
        <v>166</v>
      </c>
      <c r="G5" s="328"/>
      <c r="H5" s="328"/>
      <c r="I5" s="328"/>
      <c r="J5" s="328"/>
      <c r="K5" s="328"/>
      <c r="L5" s="328"/>
      <c r="M5" s="328"/>
      <c r="N5" s="328"/>
    </row>
    <row r="6" spans="1:15" x14ac:dyDescent="0.25">
      <c r="A6" s="17">
        <f t="shared" si="1"/>
        <v>3</v>
      </c>
      <c r="B6" s="234" t="s">
        <v>111</v>
      </c>
      <c r="C6" s="22"/>
      <c r="D6" s="22"/>
      <c r="E6" s="23">
        <v>0.75</v>
      </c>
      <c r="F6" s="23">
        <v>0.4</v>
      </c>
      <c r="G6" s="23">
        <v>7.0000000000000007E-2</v>
      </c>
      <c r="H6" s="23">
        <f>G6</f>
        <v>7.0000000000000007E-2</v>
      </c>
      <c r="I6" s="23">
        <f t="shared" ref="I6:N6" si="2">H6</f>
        <v>7.0000000000000007E-2</v>
      </c>
      <c r="J6" s="23">
        <f t="shared" si="2"/>
        <v>7.0000000000000007E-2</v>
      </c>
      <c r="K6" s="23">
        <f t="shared" si="2"/>
        <v>7.0000000000000007E-2</v>
      </c>
      <c r="L6" s="23">
        <f t="shared" si="2"/>
        <v>7.0000000000000007E-2</v>
      </c>
      <c r="M6" s="23">
        <f t="shared" si="2"/>
        <v>7.0000000000000007E-2</v>
      </c>
      <c r="N6" s="23">
        <f t="shared" si="2"/>
        <v>7.0000000000000007E-2</v>
      </c>
    </row>
    <row r="7" spans="1:15" x14ac:dyDescent="0.25">
      <c r="A7" s="17">
        <f t="shared" si="1"/>
        <v>4</v>
      </c>
      <c r="B7" s="17" t="s">
        <v>64</v>
      </c>
      <c r="E7" s="24">
        <f>'Figure 2-11'!F7</f>
        <v>1620000</v>
      </c>
      <c r="F7" s="24">
        <f>E7</f>
        <v>1620000</v>
      </c>
      <c r="G7" s="16">
        <f>F7</f>
        <v>1620000</v>
      </c>
      <c r="H7" s="16">
        <f>G7*'Figure 2-16'!D40</f>
        <v>1668600</v>
      </c>
      <c r="I7" s="29">
        <f>H7*'Figure 2-16'!D41</f>
        <v>1718658</v>
      </c>
      <c r="J7" s="13">
        <f>I7*'Figure 2-16'!D42</f>
        <v>1770217.74</v>
      </c>
      <c r="K7" s="13">
        <f>J7*'Figure 2-16'!D43</f>
        <v>1823324.2722</v>
      </c>
      <c r="L7" s="13">
        <f>K7*'Figure 2-16'!$D44</f>
        <v>1878024.000366</v>
      </c>
      <c r="M7" s="13">
        <f>L7*'Figure 2-16'!$D44</f>
        <v>1934364.72037698</v>
      </c>
      <c r="N7" s="13">
        <f>M7*'Figure 2-16'!$D44</f>
        <v>1992395.6619882896</v>
      </c>
    </row>
    <row r="8" spans="1:15" x14ac:dyDescent="0.25">
      <c r="A8" s="17">
        <f t="shared" si="1"/>
        <v>5</v>
      </c>
      <c r="B8" s="17" t="s">
        <v>2</v>
      </c>
      <c r="E8" s="110">
        <f>'Figure 2-11'!D9*'Figure 2-16'!F37</f>
        <v>510000</v>
      </c>
      <c r="F8" s="110">
        <f>'Figure 2-11'!D9*'Figure 2-16'!F38</f>
        <v>510000</v>
      </c>
      <c r="G8" s="111">
        <f>'Figure 2-11'!D9*'Figure 2-16'!F39</f>
        <v>540000</v>
      </c>
      <c r="H8" s="14">
        <f>G8*'Figure 2-16'!$F40</f>
        <v>556200</v>
      </c>
      <c r="I8" s="14">
        <f>H8*'Figure 2-16'!$F40</f>
        <v>572886</v>
      </c>
      <c r="J8" s="14">
        <f>I8*'Figure 2-16'!$F40</f>
        <v>590072.57999999996</v>
      </c>
      <c r="K8" s="14">
        <f>J8*'Figure 2-16'!$F40</f>
        <v>607774.7574</v>
      </c>
      <c r="L8" s="14">
        <f>K8*'Figure 2-16'!$F40</f>
        <v>626008.000122</v>
      </c>
      <c r="M8" s="14">
        <f>L8*'Figure 2-16'!$F40</f>
        <v>644788.24012565997</v>
      </c>
      <c r="N8" s="14">
        <f>M8*'Figure 2-16'!$F40</f>
        <v>664131.88732942974</v>
      </c>
    </row>
    <row r="9" spans="1:15" ht="16.5" thickBot="1" x14ac:dyDescent="0.3">
      <c r="A9" s="17">
        <f t="shared" si="1"/>
        <v>6</v>
      </c>
      <c r="B9" s="235" t="s">
        <v>110</v>
      </c>
      <c r="C9" s="139"/>
      <c r="D9" s="139"/>
      <c r="E9" s="140">
        <v>0</v>
      </c>
      <c r="F9" s="140">
        <v>0</v>
      </c>
      <c r="G9" s="141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</row>
    <row r="10" spans="1:15" ht="16.5" thickTop="1" x14ac:dyDescent="0.25">
      <c r="A10" s="17">
        <f t="shared" si="1"/>
        <v>7</v>
      </c>
      <c r="B10" s="30" t="s">
        <v>3</v>
      </c>
      <c r="E10" s="143">
        <f>SUM(E7:E9)</f>
        <v>2130000</v>
      </c>
      <c r="F10" s="143">
        <f t="shared" ref="F10:N10" si="3">SUM(F7:F9)</f>
        <v>2130000</v>
      </c>
      <c r="G10" s="143">
        <f t="shared" si="3"/>
        <v>2160000</v>
      </c>
      <c r="H10" s="143">
        <f t="shared" si="3"/>
        <v>2224800</v>
      </c>
      <c r="I10" s="143">
        <f t="shared" si="3"/>
        <v>2291544</v>
      </c>
      <c r="J10" s="143">
        <f t="shared" si="3"/>
        <v>2360290.3199999998</v>
      </c>
      <c r="K10" s="143">
        <f t="shared" si="3"/>
        <v>2431099.0296</v>
      </c>
      <c r="L10" s="143">
        <f t="shared" si="3"/>
        <v>2504032.000488</v>
      </c>
      <c r="M10" s="143">
        <f t="shared" si="3"/>
        <v>2579152.9605026399</v>
      </c>
      <c r="N10" s="143">
        <f t="shared" si="3"/>
        <v>2656527.5493177194</v>
      </c>
    </row>
    <row r="11" spans="1:15" ht="16.5" thickBot="1" x14ac:dyDescent="0.3">
      <c r="A11" s="17">
        <f>A10+1</f>
        <v>8</v>
      </c>
      <c r="B11" s="235" t="s">
        <v>112</v>
      </c>
      <c r="C11" s="144" t="s">
        <v>66</v>
      </c>
      <c r="D11" s="144"/>
      <c r="E11" s="140">
        <f>-E6*('Figure 2-11'!$D$6/'Figure 2-11'!$D$7)*E10-'Figure 2-11'!F5</f>
        <v>-964500</v>
      </c>
      <c r="F11" s="140">
        <f>-F6*('Figure 2-11'!$D6/'Figure 2-11'!$D7)*F10</f>
        <v>-284000</v>
      </c>
      <c r="G11" s="140">
        <f>-G6*('Figure 2-11'!$D6/'Figure 2-11'!$D7)*G10</f>
        <v>-50400</v>
      </c>
      <c r="H11" s="140">
        <f>-H6*('Figure 2-11'!$D6/'Figure 2-11'!$D7)*H10</f>
        <v>-51912</v>
      </c>
      <c r="I11" s="140">
        <f>-I6*('Figure 2-11'!$D6/'Figure 2-11'!$D7)*I10</f>
        <v>-53469.36</v>
      </c>
      <c r="J11" s="140">
        <f>-J6*('Figure 2-11'!$D6/'Figure 2-11'!$D7)*J10</f>
        <v>-55073.440799999997</v>
      </c>
      <c r="K11" s="140">
        <f>-K6*('Figure 2-11'!$D6/'Figure 2-11'!$D7)*K10</f>
        <v>-56725.644024000001</v>
      </c>
      <c r="L11" s="140">
        <f>-L6*('Figure 2-11'!$D6/'Figure 2-11'!$D7)*L10</f>
        <v>-58427.41334472</v>
      </c>
      <c r="M11" s="140">
        <f>-M6*('Figure 2-11'!$D6/'Figure 2-11'!$D7)*M10</f>
        <v>-60180.235745061596</v>
      </c>
      <c r="N11" s="140">
        <f>-N6*('Figure 2-11'!$D6/'Figure 2-11'!$D7)*N10</f>
        <v>-61985.642817413456</v>
      </c>
    </row>
    <row r="12" spans="1:15" ht="16.5" thickTop="1" x14ac:dyDescent="0.25">
      <c r="A12" s="17">
        <f>A11+1</f>
        <v>9</v>
      </c>
      <c r="B12" s="30" t="s">
        <v>4</v>
      </c>
      <c r="C12" s="31"/>
      <c r="D12" s="31"/>
      <c r="E12" s="31">
        <f t="shared" ref="E12:N12" si="4">SUM(E10:E11)</f>
        <v>1165500</v>
      </c>
      <c r="F12" s="31">
        <f t="shared" si="4"/>
        <v>1846000</v>
      </c>
      <c r="G12" s="31">
        <f t="shared" si="4"/>
        <v>2109600</v>
      </c>
      <c r="H12" s="31">
        <f t="shared" si="4"/>
        <v>2172888</v>
      </c>
      <c r="I12" s="31">
        <f t="shared" si="4"/>
        <v>2238074.64</v>
      </c>
      <c r="J12" s="31">
        <f t="shared" si="4"/>
        <v>2305216.8791999999</v>
      </c>
      <c r="K12" s="31">
        <f t="shared" si="4"/>
        <v>2374373.385576</v>
      </c>
      <c r="L12" s="31">
        <f t="shared" si="4"/>
        <v>2445604.5871432801</v>
      </c>
      <c r="M12" s="32">
        <f t="shared" si="4"/>
        <v>2518972.7247575782</v>
      </c>
      <c r="N12" s="31">
        <f t="shared" si="4"/>
        <v>2594541.906500306</v>
      </c>
    </row>
    <row r="13" spans="1:15" x14ac:dyDescent="0.25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1"/>
    </row>
    <row r="14" spans="1:15" x14ac:dyDescent="0.25">
      <c r="A14" s="17">
        <f>A12+1</f>
        <v>10</v>
      </c>
      <c r="B14" s="17" t="s">
        <v>5</v>
      </c>
      <c r="E14" s="16">
        <f>-$D$36*'Figure 2-16'!I37</f>
        <v>-36000</v>
      </c>
      <c r="F14" s="13">
        <f>-D36*'Figure 2-16'!I38</f>
        <v>-36000</v>
      </c>
      <c r="G14" s="16">
        <f>-D36*'Figure 2-16'!I39</f>
        <v>-45000</v>
      </c>
      <c r="H14" s="13">
        <f>G14*'Figure 2-16'!$I40</f>
        <v>-46800</v>
      </c>
      <c r="I14" s="13">
        <f>H14*'Figure 2-16'!$I40</f>
        <v>-48672</v>
      </c>
      <c r="J14" s="13">
        <f>I14*'Figure 2-16'!$I40</f>
        <v>-50618.880000000005</v>
      </c>
      <c r="K14" s="13">
        <f>J14*'Figure 2-16'!$I40</f>
        <v>-52643.635200000004</v>
      </c>
      <c r="L14" s="13">
        <f>K14*'Figure 2-16'!$I40</f>
        <v>-54749.380608000007</v>
      </c>
      <c r="M14" s="13">
        <f>L14*'Figure 2-16'!$I40</f>
        <v>-56939.355832320012</v>
      </c>
      <c r="N14" s="13">
        <f>M14*'Figure 2-16'!$I40</f>
        <v>-59216.930065612818</v>
      </c>
    </row>
    <row r="15" spans="1:15" x14ac:dyDescent="0.25">
      <c r="A15" s="17">
        <f t="shared" si="1"/>
        <v>11</v>
      </c>
      <c r="B15" s="17" t="s">
        <v>6</v>
      </c>
      <c r="E15" s="16">
        <f>-E8</f>
        <v>-510000</v>
      </c>
      <c r="F15" s="16">
        <f t="shared" ref="F15:N15" si="5">-F8</f>
        <v>-510000</v>
      </c>
      <c r="G15" s="16">
        <f t="shared" si="5"/>
        <v>-540000</v>
      </c>
      <c r="H15" s="16">
        <f t="shared" si="5"/>
        <v>-556200</v>
      </c>
      <c r="I15" s="16">
        <f t="shared" si="5"/>
        <v>-572886</v>
      </c>
      <c r="J15" s="16">
        <f t="shared" si="5"/>
        <v>-590072.57999999996</v>
      </c>
      <c r="K15" s="16">
        <f t="shared" si="5"/>
        <v>-607774.7574</v>
      </c>
      <c r="L15" s="16">
        <f t="shared" si="5"/>
        <v>-626008.000122</v>
      </c>
      <c r="M15" s="16">
        <f t="shared" si="5"/>
        <v>-644788.24012565997</v>
      </c>
      <c r="N15" s="16">
        <f t="shared" si="5"/>
        <v>-664131.88732942974</v>
      </c>
    </row>
    <row r="16" spans="1:15" x14ac:dyDescent="0.25">
      <c r="A16" s="17">
        <f t="shared" si="1"/>
        <v>12</v>
      </c>
      <c r="B16" s="234" t="s">
        <v>113</v>
      </c>
      <c r="E16" s="16">
        <f>-'Figure 2-13'!G10</f>
        <v>-30000</v>
      </c>
      <c r="F16" s="16">
        <f>E16</f>
        <v>-30000</v>
      </c>
      <c r="G16" s="16">
        <f t="shared" ref="G16:N16" si="6">F16</f>
        <v>-30000</v>
      </c>
      <c r="H16" s="16">
        <f t="shared" si="6"/>
        <v>-30000</v>
      </c>
      <c r="I16" s="16">
        <f t="shared" si="6"/>
        <v>-30000</v>
      </c>
      <c r="J16" s="16">
        <f t="shared" si="6"/>
        <v>-30000</v>
      </c>
      <c r="K16" s="16">
        <f t="shared" si="6"/>
        <v>-30000</v>
      </c>
      <c r="L16" s="16">
        <f t="shared" si="6"/>
        <v>-30000</v>
      </c>
      <c r="M16" s="16">
        <f t="shared" si="6"/>
        <v>-30000</v>
      </c>
      <c r="N16" s="16">
        <f t="shared" si="6"/>
        <v>-30000</v>
      </c>
    </row>
    <row r="17" spans="1:14" x14ac:dyDescent="0.25">
      <c r="A17" s="17">
        <f t="shared" si="1"/>
        <v>13</v>
      </c>
      <c r="B17" s="17" t="s">
        <v>7</v>
      </c>
      <c r="E17" s="16">
        <v>0</v>
      </c>
      <c r="F17" s="13">
        <v>0</v>
      </c>
      <c r="G17" s="13">
        <v>-30000</v>
      </c>
      <c r="H17" s="13">
        <f>G17</f>
        <v>-30000</v>
      </c>
      <c r="I17" s="13">
        <f t="shared" ref="I17:N17" si="7">H17</f>
        <v>-30000</v>
      </c>
      <c r="J17" s="16">
        <f t="shared" si="7"/>
        <v>-30000</v>
      </c>
      <c r="K17" s="16">
        <f t="shared" si="7"/>
        <v>-30000</v>
      </c>
      <c r="L17" s="16">
        <f t="shared" si="7"/>
        <v>-30000</v>
      </c>
      <c r="M17" s="16">
        <f t="shared" si="7"/>
        <v>-30000</v>
      </c>
      <c r="N17" s="16">
        <f t="shared" si="7"/>
        <v>-30000</v>
      </c>
    </row>
    <row r="18" spans="1:14" ht="16.5" thickBot="1" x14ac:dyDescent="0.3">
      <c r="A18" s="17">
        <f t="shared" si="1"/>
        <v>14</v>
      </c>
      <c r="B18" s="139" t="s">
        <v>8</v>
      </c>
      <c r="C18" s="139"/>
      <c r="D18" s="139"/>
      <c r="E18" s="141">
        <v>0</v>
      </c>
      <c r="F18" s="142">
        <v>0</v>
      </c>
      <c r="G18" s="142">
        <f>-'Figure 2-13'!G10</f>
        <v>-30000</v>
      </c>
      <c r="H18" s="142">
        <f t="shared" ref="H18:N18" si="8">G18</f>
        <v>-30000</v>
      </c>
      <c r="I18" s="142">
        <f t="shared" si="8"/>
        <v>-30000</v>
      </c>
      <c r="J18" s="142">
        <f t="shared" si="8"/>
        <v>-30000</v>
      </c>
      <c r="K18" s="142">
        <f t="shared" si="8"/>
        <v>-30000</v>
      </c>
      <c r="L18" s="142">
        <f t="shared" si="8"/>
        <v>-30000</v>
      </c>
      <c r="M18" s="142">
        <f t="shared" si="8"/>
        <v>-30000</v>
      </c>
      <c r="N18" s="142">
        <f t="shared" si="8"/>
        <v>-30000</v>
      </c>
    </row>
    <row r="19" spans="1:14" s="30" customFormat="1" ht="16.5" thickTop="1" x14ac:dyDescent="0.25">
      <c r="A19" s="17">
        <f t="shared" si="1"/>
        <v>15</v>
      </c>
      <c r="B19" s="30" t="s">
        <v>9</v>
      </c>
      <c r="C19" s="13"/>
      <c r="D19" s="13"/>
      <c r="E19" s="31">
        <f t="shared" ref="E19:N19" si="9">SUM(E12:E18)</f>
        <v>589500</v>
      </c>
      <c r="F19" s="31">
        <f t="shared" si="9"/>
        <v>1270000</v>
      </c>
      <c r="G19" s="31">
        <f t="shared" si="9"/>
        <v>1434600</v>
      </c>
      <c r="H19" s="31">
        <f t="shared" si="9"/>
        <v>1479888</v>
      </c>
      <c r="I19" s="31">
        <f t="shared" si="9"/>
        <v>1526516.6400000001</v>
      </c>
      <c r="J19" s="31">
        <f t="shared" si="9"/>
        <v>1574525.4191999999</v>
      </c>
      <c r="K19" s="31">
        <f t="shared" si="9"/>
        <v>1623954.9929760001</v>
      </c>
      <c r="L19" s="31">
        <f t="shared" si="9"/>
        <v>1674847.2064132802</v>
      </c>
      <c r="M19" s="32">
        <f t="shared" si="9"/>
        <v>1727245.1287995982</v>
      </c>
      <c r="N19" s="31">
        <f t="shared" si="9"/>
        <v>1781193.0891052634</v>
      </c>
    </row>
    <row r="20" spans="1:14" s="30" customFormat="1" x14ac:dyDescent="0.25">
      <c r="A20" s="17"/>
      <c r="C20" s="13"/>
      <c r="D20" s="13"/>
      <c r="E20" s="31"/>
      <c r="F20" s="31"/>
      <c r="G20" s="31"/>
      <c r="H20" s="31"/>
      <c r="I20" s="31"/>
      <c r="J20" s="31"/>
      <c r="K20" s="31"/>
      <c r="L20" s="31"/>
      <c r="M20" s="32"/>
      <c r="N20" s="31"/>
    </row>
    <row r="21" spans="1:14" s="30" customFormat="1" ht="16.5" thickBot="1" x14ac:dyDescent="0.3">
      <c r="A21" s="17">
        <f>A19+1</f>
        <v>16</v>
      </c>
      <c r="B21" s="17" t="s">
        <v>10</v>
      </c>
      <c r="C21" s="13"/>
      <c r="D21" s="13"/>
      <c r="E21" s="142">
        <f>-'Figure 2-15'!E9</f>
        <v>-1016352.8868039447</v>
      </c>
      <c r="F21" s="142">
        <f>E21</f>
        <v>-1016352.8868039447</v>
      </c>
      <c r="G21" s="142">
        <f>F21</f>
        <v>-1016352.8868039447</v>
      </c>
      <c r="H21" s="142">
        <f>G21</f>
        <v>-1016352.8868039447</v>
      </c>
      <c r="I21" s="142">
        <f>H21</f>
        <v>-1016352.8868039447</v>
      </c>
      <c r="J21" s="142">
        <f>I21</f>
        <v>-1016352.8868039447</v>
      </c>
      <c r="K21" s="141">
        <f>PMT('Figure 2-15'!D3,'Figure 2-15'!D4,$J24)</f>
        <v>-1344644.7079967991</v>
      </c>
      <c r="L21" s="141">
        <f>K21</f>
        <v>-1344644.7079967991</v>
      </c>
      <c r="M21" s="141">
        <f>L21</f>
        <v>-1344644.7079967991</v>
      </c>
      <c r="N21" s="141">
        <f>M21</f>
        <v>-1344644.7079967991</v>
      </c>
    </row>
    <row r="22" spans="1:14" ht="16.5" thickTop="1" x14ac:dyDescent="0.25">
      <c r="A22" s="17">
        <f>A21+1</f>
        <v>17</v>
      </c>
      <c r="B22" s="30" t="s">
        <v>61</v>
      </c>
      <c r="C22" s="31"/>
      <c r="D22" s="31"/>
      <c r="E22" s="31">
        <f t="shared" ref="E22:N22" si="10">SUM(E19:E21)</f>
        <v>-426852.88680394471</v>
      </c>
      <c r="F22" s="31">
        <f t="shared" si="10"/>
        <v>253647.11319605529</v>
      </c>
      <c r="G22" s="31">
        <f t="shared" si="10"/>
        <v>418247.11319605529</v>
      </c>
      <c r="H22" s="31">
        <f t="shared" si="10"/>
        <v>463535.11319605529</v>
      </c>
      <c r="I22" s="31">
        <f t="shared" si="10"/>
        <v>510163.75319605542</v>
      </c>
      <c r="J22" s="31">
        <f t="shared" si="10"/>
        <v>558172.53239605518</v>
      </c>
      <c r="K22" s="31">
        <f t="shared" si="10"/>
        <v>279310.28497920092</v>
      </c>
      <c r="L22" s="31">
        <f t="shared" si="10"/>
        <v>330202.49841648107</v>
      </c>
      <c r="M22" s="31">
        <f t="shared" si="10"/>
        <v>382600.42080279905</v>
      </c>
      <c r="N22" s="31">
        <f t="shared" si="10"/>
        <v>436548.38110846421</v>
      </c>
    </row>
    <row r="23" spans="1:14" s="30" customFormat="1" x14ac:dyDescent="0.25">
      <c r="A23" s="17"/>
      <c r="B23" s="17"/>
      <c r="C23" s="14"/>
      <c r="D23" s="14"/>
      <c r="E23" s="31"/>
      <c r="F23" s="31"/>
      <c r="G23" s="31"/>
      <c r="H23" s="31"/>
      <c r="I23" s="31"/>
      <c r="J23" s="51" t="s">
        <v>37</v>
      </c>
      <c r="K23" s="31"/>
      <c r="L23" s="31"/>
      <c r="M23" s="32"/>
      <c r="N23" s="51" t="s">
        <v>38</v>
      </c>
    </row>
    <row r="24" spans="1:14" s="30" customFormat="1" x14ac:dyDescent="0.25">
      <c r="A24" s="17">
        <f>A22+1</f>
        <v>18</v>
      </c>
      <c r="B24" s="17" t="s">
        <v>11</v>
      </c>
      <c r="C24" s="13"/>
      <c r="D24" s="13"/>
      <c r="E24" s="13"/>
      <c r="F24" s="31"/>
      <c r="G24" s="31"/>
      <c r="H24" s="31"/>
      <c r="I24" s="31"/>
      <c r="J24" s="13">
        <f>PV('Figure 2-15'!D3,'Figure 2-15'!D4,-J19/'Figure 2-15'!D5,,1)</f>
        <v>17113501.717762914</v>
      </c>
      <c r="K24" s="31"/>
      <c r="L24" s="31"/>
      <c r="M24" s="32"/>
      <c r="N24" s="13">
        <f>N19/('Figure 2-14'!D4+0.01)</f>
        <v>25445615.558646623</v>
      </c>
    </row>
    <row r="25" spans="1:14" s="30" customFormat="1" x14ac:dyDescent="0.25">
      <c r="A25" s="17">
        <f t="shared" si="1"/>
        <v>19</v>
      </c>
      <c r="B25" s="17" t="s">
        <v>36</v>
      </c>
      <c r="C25" s="13"/>
      <c r="D25" s="13"/>
      <c r="E25" s="31"/>
      <c r="F25" s="31"/>
      <c r="G25" s="31"/>
      <c r="H25" s="31"/>
      <c r="I25" s="31"/>
      <c r="J25" s="13">
        <f>J24*-0.025</f>
        <v>-427837.54294407286</v>
      </c>
      <c r="K25" s="31"/>
      <c r="L25" s="31"/>
      <c r="M25" s="32"/>
      <c r="N25" s="13">
        <f>N24*-0.025</f>
        <v>-636140.3889661656</v>
      </c>
    </row>
    <row r="26" spans="1:14" s="30" customFormat="1" x14ac:dyDescent="0.25">
      <c r="A26" s="17">
        <f t="shared" si="1"/>
        <v>20</v>
      </c>
      <c r="B26" s="17" t="s">
        <v>12</v>
      </c>
      <c r="C26" s="13"/>
      <c r="D26" s="13"/>
      <c r="E26" s="31"/>
      <c r="F26" s="31"/>
      <c r="G26" s="31"/>
      <c r="H26" s="31"/>
      <c r="I26" s="31"/>
      <c r="J26" s="15">
        <f>-(J21+'Figure 2-15'!G8-0.0439*'Figure 2-15'!G8)</f>
        <v>-11351069.086076055</v>
      </c>
      <c r="K26" s="31"/>
      <c r="L26" s="31"/>
      <c r="M26" s="32"/>
      <c r="N26" s="15">
        <f>(J24+N21-5*200000)*-1</f>
        <v>-14768857.009766115</v>
      </c>
    </row>
    <row r="27" spans="1:14" s="30" customFormat="1" ht="16.5" thickBot="1" x14ac:dyDescent="0.3">
      <c r="A27" s="17">
        <f t="shared" si="1"/>
        <v>21</v>
      </c>
      <c r="B27" s="17" t="s">
        <v>13</v>
      </c>
      <c r="C27" s="13"/>
      <c r="D27" s="13"/>
      <c r="E27" s="31"/>
      <c r="F27" s="31"/>
      <c r="G27" s="31"/>
      <c r="H27" s="31"/>
      <c r="I27" s="31"/>
      <c r="J27" s="13">
        <f>SUM(J24:J26)</f>
        <v>5334595.0887427852</v>
      </c>
      <c r="K27" s="31"/>
      <c r="L27" s="31"/>
      <c r="M27" s="32"/>
      <c r="N27" s="13">
        <f>SUM(N24:N26)</f>
        <v>10040618.159914343</v>
      </c>
    </row>
    <row r="28" spans="1:14" s="30" customFormat="1" ht="30" customHeight="1" thickBot="1" x14ac:dyDescent="0.3">
      <c r="A28" s="17"/>
      <c r="B28" s="199" t="s">
        <v>75</v>
      </c>
      <c r="C28" s="214" t="s">
        <v>76</v>
      </c>
      <c r="D28" s="13"/>
      <c r="E28" s="31"/>
      <c r="F28" s="31"/>
      <c r="G28" s="31"/>
      <c r="H28" s="31"/>
      <c r="I28" s="31"/>
      <c r="J28" s="13"/>
      <c r="K28" s="31"/>
      <c r="L28" s="31"/>
      <c r="M28" s="32"/>
      <c r="N28" s="13"/>
    </row>
    <row r="29" spans="1:14" s="30" customFormat="1" ht="16.5" thickBot="1" x14ac:dyDescent="0.3">
      <c r="A29" s="200">
        <f>A27+1</f>
        <v>22</v>
      </c>
      <c r="B29" s="201" t="s">
        <v>73</v>
      </c>
      <c r="C29" s="212">
        <f>-'Figure 2-15'!E11</f>
        <v>-3233820.1999999993</v>
      </c>
      <c r="D29" s="202">
        <v>0</v>
      </c>
      <c r="E29" s="202">
        <f>E22+E27</f>
        <v>-426852.88680394471</v>
      </c>
      <c r="F29" s="202">
        <f t="shared" ref="F29:N29" si="11">F22+F27</f>
        <v>253647.11319605529</v>
      </c>
      <c r="G29" s="202">
        <f t="shared" si="11"/>
        <v>418247.11319605529</v>
      </c>
      <c r="H29" s="202">
        <f t="shared" si="11"/>
        <v>463535.11319605529</v>
      </c>
      <c r="I29" s="202">
        <f t="shared" si="11"/>
        <v>510163.75319605542</v>
      </c>
      <c r="J29" s="202">
        <f t="shared" si="11"/>
        <v>5892767.62113884</v>
      </c>
      <c r="K29" s="202">
        <f t="shared" si="11"/>
        <v>279310.28497920092</v>
      </c>
      <c r="L29" s="202">
        <f t="shared" si="11"/>
        <v>330202.49841648107</v>
      </c>
      <c r="M29" s="202">
        <f t="shared" si="11"/>
        <v>382600.42080279905</v>
      </c>
      <c r="N29" s="203">
        <f t="shared" si="11"/>
        <v>10477166.541022807</v>
      </c>
    </row>
    <row r="30" spans="1:14" ht="20.25" thickTop="1" thickBot="1" x14ac:dyDescent="0.35">
      <c r="A30" s="204">
        <f>A29+1</f>
        <v>23</v>
      </c>
      <c r="B30" s="93" t="s">
        <v>115</v>
      </c>
      <c r="C30" s="106">
        <f>IRR(C29:N29)</f>
        <v>0.21728284827817457</v>
      </c>
      <c r="D30" s="33"/>
      <c r="E30" s="156"/>
      <c r="F30" s="156"/>
      <c r="G30" s="156"/>
      <c r="H30" s="156"/>
      <c r="I30" s="156"/>
      <c r="J30" s="156"/>
      <c r="K30" s="156"/>
      <c r="L30" s="156"/>
      <c r="M30" s="156"/>
      <c r="N30" s="205"/>
    </row>
    <row r="31" spans="1:14" ht="16.5" thickBot="1" x14ac:dyDescent="0.3">
      <c r="A31" s="204">
        <f>A30+1</f>
        <v>24</v>
      </c>
      <c r="B31" s="93" t="s">
        <v>114</v>
      </c>
      <c r="C31" s="213">
        <f>-('Figure 2-12'!E35)</f>
        <v>-16169101</v>
      </c>
      <c r="D31" s="105">
        <f>D29</f>
        <v>0</v>
      </c>
      <c r="E31" s="105">
        <f>E19</f>
        <v>589500</v>
      </c>
      <c r="F31" s="105">
        <f t="shared" ref="F31:M31" si="12">F19</f>
        <v>1270000</v>
      </c>
      <c r="G31" s="105">
        <f t="shared" si="12"/>
        <v>1434600</v>
      </c>
      <c r="H31" s="105">
        <f t="shared" si="12"/>
        <v>1479888</v>
      </c>
      <c r="I31" s="105">
        <f t="shared" si="12"/>
        <v>1526516.6400000001</v>
      </c>
      <c r="J31" s="105">
        <f t="shared" si="12"/>
        <v>1574525.4191999999</v>
      </c>
      <c r="K31" s="105">
        <f t="shared" si="12"/>
        <v>1623954.9929760001</v>
      </c>
      <c r="L31" s="105">
        <f t="shared" si="12"/>
        <v>1674847.2064132802</v>
      </c>
      <c r="M31" s="105">
        <f t="shared" si="12"/>
        <v>1727245.1287995982</v>
      </c>
      <c r="N31" s="206">
        <f>N24+N25</f>
        <v>24809475.169680458</v>
      </c>
    </row>
    <row r="32" spans="1:14" ht="20.25" thickTop="1" thickBot="1" x14ac:dyDescent="0.35">
      <c r="A32" s="207">
        <f>A31+1</f>
        <v>25</v>
      </c>
      <c r="B32" s="208" t="s">
        <v>59</v>
      </c>
      <c r="C32" s="106">
        <f>IRR(C31:N31)</f>
        <v>9.7402094748897161E-2</v>
      </c>
      <c r="D32" s="209"/>
      <c r="E32" s="210"/>
      <c r="F32" s="210"/>
      <c r="G32" s="210"/>
      <c r="H32" s="210"/>
      <c r="I32" s="210"/>
      <c r="J32" s="210"/>
      <c r="K32" s="210"/>
      <c r="L32" s="210"/>
      <c r="M32" s="210"/>
      <c r="N32" s="211"/>
    </row>
    <row r="33" spans="1:23" ht="33" customHeight="1" x14ac:dyDescent="0.25">
      <c r="B33" s="237" t="s">
        <v>116</v>
      </c>
    </row>
    <row r="34" spans="1:23" x14ac:dyDescent="0.25">
      <c r="A34" s="238"/>
      <c r="B34" s="238"/>
      <c r="C34" s="329" t="s">
        <v>48</v>
      </c>
      <c r="D34" s="329"/>
      <c r="E34" s="329"/>
      <c r="F34" s="329"/>
      <c r="G34" s="62"/>
      <c r="H34" s="62"/>
      <c r="M34"/>
      <c r="N34"/>
    </row>
    <row r="35" spans="1:23" x14ac:dyDescent="0.25">
      <c r="A35"/>
      <c r="B35" s="198"/>
      <c r="C35" s="40" t="s">
        <v>120</v>
      </c>
      <c r="D35" s="40"/>
      <c r="E35" s="40" t="s">
        <v>119</v>
      </c>
      <c r="F35" s="21"/>
      <c r="G35" s="21"/>
      <c r="H35" s="40" t="s">
        <v>153</v>
      </c>
      <c r="I35" s="21"/>
      <c r="J35" s="21"/>
      <c r="K35"/>
      <c r="L35"/>
      <c r="M35"/>
      <c r="N35"/>
    </row>
    <row r="36" spans="1:23" x14ac:dyDescent="0.25">
      <c r="A36"/>
      <c r="C36" s="21" t="s">
        <v>77</v>
      </c>
      <c r="D36" s="260">
        <f>'Figure 2-11'!D7</f>
        <v>60000</v>
      </c>
      <c r="E36" s="40"/>
      <c r="F36" s="21"/>
      <c r="G36" s="21"/>
      <c r="H36" s="40"/>
      <c r="I36" s="21"/>
      <c r="J36" s="21"/>
      <c r="K36"/>
      <c r="L36"/>
      <c r="M36"/>
      <c r="N36"/>
    </row>
    <row r="37" spans="1:23" x14ac:dyDescent="0.25">
      <c r="A37"/>
      <c r="B37"/>
      <c r="C37" s="21" t="s">
        <v>16</v>
      </c>
      <c r="D37" s="258" t="s">
        <v>43</v>
      </c>
      <c r="E37" s="21" t="s">
        <v>16</v>
      </c>
      <c r="F37" s="35">
        <v>8.5</v>
      </c>
      <c r="G37" s="21"/>
      <c r="H37" s="21" t="s">
        <v>16</v>
      </c>
      <c r="I37" s="35">
        <v>0.6</v>
      </c>
      <c r="J37" s="21"/>
      <c r="K37"/>
      <c r="L37"/>
      <c r="M37"/>
      <c r="N37"/>
    </row>
    <row r="38" spans="1:23" x14ac:dyDescent="0.25">
      <c r="A38"/>
      <c r="B38"/>
      <c r="C38" s="21" t="s">
        <v>17</v>
      </c>
      <c r="D38" s="258" t="s">
        <v>43</v>
      </c>
      <c r="E38" s="21" t="s">
        <v>17</v>
      </c>
      <c r="F38" s="35">
        <v>8.5</v>
      </c>
      <c r="G38" s="41">
        <f>F38/F37</f>
        <v>1</v>
      </c>
      <c r="H38" s="21" t="s">
        <v>17</v>
      </c>
      <c r="I38" s="35">
        <v>0.6</v>
      </c>
      <c r="J38" s="41">
        <f>I38/I37</f>
        <v>1</v>
      </c>
      <c r="K38"/>
      <c r="L38"/>
      <c r="M38"/>
      <c r="N38"/>
    </row>
    <row r="39" spans="1:23" x14ac:dyDescent="0.25">
      <c r="A39"/>
      <c r="B39"/>
      <c r="C39" s="21" t="s">
        <v>18</v>
      </c>
      <c r="D39" s="258" t="s">
        <v>43</v>
      </c>
      <c r="E39" s="21" t="s">
        <v>18</v>
      </c>
      <c r="F39" s="35">
        <v>9</v>
      </c>
      <c r="G39" s="41">
        <f>F39/F38</f>
        <v>1.0588235294117647</v>
      </c>
      <c r="H39" s="21" t="s">
        <v>18</v>
      </c>
      <c r="I39" s="35">
        <v>0.75</v>
      </c>
      <c r="J39" s="41">
        <f>I39/I38</f>
        <v>1.25</v>
      </c>
      <c r="K39"/>
      <c r="L39"/>
      <c r="M39"/>
      <c r="N39"/>
    </row>
    <row r="40" spans="1:23" x14ac:dyDescent="0.25">
      <c r="A40"/>
      <c r="B40"/>
      <c r="C40" s="21" t="s">
        <v>19</v>
      </c>
      <c r="D40" s="259">
        <v>1.03</v>
      </c>
      <c r="E40" s="21" t="s">
        <v>20</v>
      </c>
      <c r="F40" s="55">
        <v>1.03</v>
      </c>
      <c r="G40" s="2"/>
      <c r="H40" s="21" t="s">
        <v>20</v>
      </c>
      <c r="I40" s="55">
        <v>1.04</v>
      </c>
      <c r="J40" s="2"/>
      <c r="K40"/>
      <c r="L40"/>
      <c r="M40"/>
      <c r="N40"/>
    </row>
    <row r="41" spans="1:23" x14ac:dyDescent="0.25">
      <c r="A41"/>
      <c r="B41"/>
      <c r="C41" s="21" t="s">
        <v>21</v>
      </c>
      <c r="D41" s="259">
        <v>1.03</v>
      </c>
      <c r="E41" s="21"/>
      <c r="F41" s="42"/>
      <c r="G41" s="2"/>
      <c r="J41"/>
      <c r="K41"/>
      <c r="L41"/>
      <c r="M41"/>
      <c r="N41"/>
    </row>
    <row r="42" spans="1:23" x14ac:dyDescent="0.25">
      <c r="A42"/>
      <c r="B42"/>
      <c r="C42" s="21" t="s">
        <v>44</v>
      </c>
      <c r="D42" s="41">
        <v>1.03</v>
      </c>
      <c r="G42" s="17" t="s">
        <v>156</v>
      </c>
      <c r="H42" s="21" t="s">
        <v>50</v>
      </c>
      <c r="J42"/>
      <c r="K42"/>
      <c r="L42"/>
      <c r="M42"/>
      <c r="N42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/>
      <c r="B43"/>
      <c r="C43" s="21" t="s">
        <v>45</v>
      </c>
      <c r="D43" s="41">
        <v>1.03</v>
      </c>
      <c r="H43" s="236" t="s">
        <v>118</v>
      </c>
      <c r="J43"/>
      <c r="K43"/>
      <c r="L43"/>
      <c r="M43"/>
      <c r="N43"/>
      <c r="O43" s="13"/>
      <c r="P43" s="13"/>
      <c r="Q43" s="13"/>
      <c r="R43" s="13"/>
      <c r="S43" s="13"/>
      <c r="T43" s="13"/>
      <c r="U43" s="13"/>
      <c r="V43" s="13"/>
      <c r="W43" s="13"/>
    </row>
    <row r="44" spans="1:23" x14ac:dyDescent="0.25">
      <c r="A44"/>
      <c r="B44"/>
      <c r="C44" s="21" t="s">
        <v>46</v>
      </c>
      <c r="D44" s="41">
        <v>1.03</v>
      </c>
      <c r="H44" s="107" t="s">
        <v>117</v>
      </c>
      <c r="J44"/>
      <c r="K44"/>
      <c r="L44"/>
      <c r="M44"/>
      <c r="N44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5">
      <c r="A45"/>
      <c r="B45"/>
      <c r="C45" s="21"/>
      <c r="D45" s="21"/>
      <c r="J45"/>
      <c r="K45"/>
      <c r="L45"/>
      <c r="M45"/>
      <c r="N45"/>
      <c r="O45" s="13"/>
      <c r="P45" s="13"/>
      <c r="Q45" s="13"/>
      <c r="R45" s="13"/>
      <c r="S45" s="13"/>
      <c r="T45" s="13"/>
      <c r="U45" s="13"/>
      <c r="V45" s="13"/>
      <c r="W45" s="13"/>
    </row>
    <row r="46" spans="1:23" x14ac:dyDescent="0.25">
      <c r="A46"/>
      <c r="B46"/>
      <c r="D46" s="21"/>
      <c r="E46"/>
      <c r="F46"/>
      <c r="G46"/>
      <c r="H46"/>
      <c r="I46"/>
      <c r="J46"/>
      <c r="K46"/>
      <c r="L46"/>
      <c r="M46"/>
      <c r="N46"/>
      <c r="O46" s="13"/>
      <c r="P46" s="13"/>
      <c r="Q46" s="13"/>
      <c r="R46" s="13"/>
      <c r="S46" s="13"/>
      <c r="T46" s="13"/>
      <c r="U46" s="13"/>
      <c r="V46" s="13"/>
      <c r="W46" s="13"/>
    </row>
    <row r="47" spans="1:23" x14ac:dyDescent="0.25">
      <c r="A47"/>
      <c r="B47"/>
      <c r="D47" s="21"/>
      <c r="E47"/>
      <c r="F47"/>
      <c r="G47"/>
      <c r="H47"/>
      <c r="I47"/>
      <c r="J47"/>
      <c r="K47"/>
      <c r="L47"/>
      <c r="M47"/>
      <c r="N47"/>
      <c r="O47" s="13"/>
      <c r="P47" s="13"/>
      <c r="Q47" s="13"/>
      <c r="R47" s="13"/>
      <c r="S47" s="13"/>
      <c r="T47" s="13"/>
      <c r="U47" s="13"/>
      <c r="V47" s="13"/>
      <c r="W47" s="13"/>
    </row>
    <row r="48" spans="1:23" x14ac:dyDescent="0.25">
      <c r="A48"/>
      <c r="B48"/>
      <c r="D48" s="21"/>
      <c r="E48"/>
      <c r="F48"/>
      <c r="G48"/>
      <c r="H48"/>
      <c r="I48"/>
      <c r="J48"/>
      <c r="K48"/>
      <c r="L48"/>
      <c r="M48"/>
      <c r="N48"/>
      <c r="O48" s="13"/>
      <c r="P48" s="13"/>
      <c r="Q48" s="13"/>
      <c r="R48" s="13"/>
      <c r="S48" s="13"/>
      <c r="T48" s="13"/>
      <c r="U48" s="13"/>
      <c r="V48" s="13"/>
      <c r="W48" s="13"/>
    </row>
    <row r="49" spans="1:14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0.75" customHeight="1" x14ac:dyDescent="0.25"/>
  </sheetData>
  <mergeCells count="5">
    <mergeCell ref="C34:F34"/>
    <mergeCell ref="F4:N4"/>
    <mergeCell ref="F5:N5"/>
    <mergeCell ref="B1:N1"/>
    <mergeCell ref="B2:N2"/>
  </mergeCells>
  <phoneticPr fontId="0" type="noConversion"/>
  <printOptions gridLines="1"/>
  <pageMargins left="0.75" right="0.75" top="1" bottom="1" header="0.5" footer="0.5"/>
  <headerFooter alignWithMargins="0">
    <oddHeader>&amp;C&amp;F&amp;A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H26" sqref="H26"/>
    </sheetView>
  </sheetViews>
  <sheetFormatPr defaultColWidth="8.875" defaultRowHeight="15.75" x14ac:dyDescent="0.25"/>
  <cols>
    <col min="1" max="1" width="3.625" customWidth="1"/>
    <col min="2" max="2" width="31.375" customWidth="1"/>
    <col min="3" max="3" width="13.875" customWidth="1"/>
    <col min="4" max="5" width="13.125" customWidth="1"/>
    <col min="6" max="9" width="10.625" bestFit="1" customWidth="1"/>
    <col min="10" max="10" width="11.625" bestFit="1" customWidth="1"/>
    <col min="11" max="12" width="11.5" bestFit="1" customWidth="1"/>
    <col min="13" max="13" width="11.625" bestFit="1" customWidth="1"/>
    <col min="14" max="14" width="12.125" bestFit="1" customWidth="1"/>
    <col min="15" max="15" width="14" customWidth="1"/>
  </cols>
  <sheetData>
    <row r="1" spans="1:15" x14ac:dyDescent="0.25">
      <c r="B1" s="332" t="s">
        <v>85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</row>
    <row r="2" spans="1:15" x14ac:dyDescent="0.25">
      <c r="A2" s="149"/>
      <c r="B2" s="333" t="s">
        <v>121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</row>
    <row r="3" spans="1:15" x14ac:dyDescent="0.25">
      <c r="A3" s="18"/>
      <c r="B3" s="18"/>
      <c r="C3" s="86" t="s">
        <v>49</v>
      </c>
      <c r="D3" s="86" t="s">
        <v>52</v>
      </c>
      <c r="E3" s="87">
        <v>1</v>
      </c>
      <c r="F3" s="87">
        <f>E3+1</f>
        <v>2</v>
      </c>
      <c r="G3" s="87">
        <f t="shared" ref="G3:N3" si="0">F3+1</f>
        <v>3</v>
      </c>
      <c r="H3" s="87">
        <f t="shared" si="0"/>
        <v>4</v>
      </c>
      <c r="I3" s="87">
        <f t="shared" si="0"/>
        <v>5</v>
      </c>
      <c r="J3" s="87">
        <f t="shared" si="0"/>
        <v>6</v>
      </c>
      <c r="K3" s="87">
        <f t="shared" si="0"/>
        <v>7</v>
      </c>
      <c r="L3" s="87">
        <f t="shared" si="0"/>
        <v>8</v>
      </c>
      <c r="M3" s="87">
        <f t="shared" si="0"/>
        <v>9</v>
      </c>
      <c r="N3" s="102">
        <f t="shared" si="0"/>
        <v>10</v>
      </c>
      <c r="O3" s="88" t="s">
        <v>55</v>
      </c>
    </row>
    <row r="4" spans="1:15" ht="16.5" thickBot="1" x14ac:dyDescent="0.3">
      <c r="A4" s="85" t="s">
        <v>72</v>
      </c>
      <c r="B4" s="76"/>
      <c r="C4" s="81">
        <f>'Figure 2-16'!C29</f>
        <v>-3233820.1999999993</v>
      </c>
      <c r="D4" s="81">
        <f>'Figure 2-16'!D29</f>
        <v>0</v>
      </c>
      <c r="E4" s="81">
        <f>'Figure 2-16'!E29</f>
        <v>-426852.88680394471</v>
      </c>
      <c r="F4" s="81">
        <f>'Figure 2-16'!F29</f>
        <v>253647.11319605529</v>
      </c>
      <c r="G4" s="81">
        <f>'Figure 2-16'!G29</f>
        <v>418247.11319605529</v>
      </c>
      <c r="H4" s="81">
        <f>'Figure 2-16'!H29</f>
        <v>463535.11319605529</v>
      </c>
      <c r="I4" s="81">
        <f>'Figure 2-16'!I29</f>
        <v>510163.75319605542</v>
      </c>
      <c r="J4" s="81">
        <f>'Figure 2-16'!J29</f>
        <v>5892767.62113884</v>
      </c>
      <c r="K4" s="81">
        <f>'Figure 2-16'!K29</f>
        <v>279310.28497920092</v>
      </c>
      <c r="L4" s="81">
        <f>'Figure 2-16'!L29</f>
        <v>330202.49841648107</v>
      </c>
      <c r="M4" s="81">
        <f>'Figure 2-16'!M29</f>
        <v>382600.42080279905</v>
      </c>
      <c r="N4" s="81">
        <f>'Figure 2-16'!N29</f>
        <v>10477166.541022807</v>
      </c>
      <c r="O4" s="90">
        <f>SUM(F4:N4)</f>
        <v>19007640.45914435</v>
      </c>
    </row>
    <row r="5" spans="1:15" ht="16.5" thickTop="1" x14ac:dyDescent="0.25">
      <c r="A5" s="101" t="s">
        <v>154</v>
      </c>
      <c r="B5" s="7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91"/>
    </row>
    <row r="6" spans="1:15" x14ac:dyDescent="0.25">
      <c r="A6" s="93"/>
      <c r="B6" s="80" t="s">
        <v>122</v>
      </c>
      <c r="C6" s="79"/>
      <c r="D6" s="79">
        <v>0</v>
      </c>
      <c r="E6" s="79">
        <v>0</v>
      </c>
      <c r="F6" s="79">
        <f>F4</f>
        <v>253647.11319605529</v>
      </c>
      <c r="G6" s="79">
        <f>G4</f>
        <v>418247.11319605529</v>
      </c>
      <c r="H6" s="79">
        <f>H4</f>
        <v>463535.11319605529</v>
      </c>
      <c r="I6" s="79">
        <f>I4</f>
        <v>510163.75319605542</v>
      </c>
      <c r="J6" s="79">
        <f>-C4-I7</f>
        <v>1588227.107215778</v>
      </c>
      <c r="K6" s="79"/>
      <c r="L6" s="79"/>
      <c r="M6" s="79"/>
      <c r="N6" s="79"/>
      <c r="O6" s="91"/>
    </row>
    <row r="7" spans="1:15" ht="16.5" thickBot="1" x14ac:dyDescent="0.3">
      <c r="B7" s="100" t="s">
        <v>57</v>
      </c>
      <c r="C7" s="76"/>
      <c r="D7" s="67">
        <f>D6</f>
        <v>0</v>
      </c>
      <c r="E7" s="67">
        <f>D6+E6</f>
        <v>0</v>
      </c>
      <c r="F7" s="67">
        <f>E7+F6</f>
        <v>253647.11319605529</v>
      </c>
      <c r="G7" s="67">
        <f>F7+G6</f>
        <v>671894.22639211058</v>
      </c>
      <c r="H7" s="67">
        <f>G7+H6</f>
        <v>1135429.3395881657</v>
      </c>
      <c r="I7" s="67">
        <f>H7+I6</f>
        <v>1645593.0927842213</v>
      </c>
      <c r="J7" s="67">
        <f>-C4</f>
        <v>3233820.1999999993</v>
      </c>
      <c r="K7" s="67" t="s">
        <v>53</v>
      </c>
      <c r="L7" s="67"/>
      <c r="M7" s="67"/>
      <c r="N7" s="67"/>
      <c r="O7" s="89">
        <f>J7</f>
        <v>3233820.1999999993</v>
      </c>
    </row>
    <row r="8" spans="1:15" ht="16.5" thickTop="1" x14ac:dyDescent="0.25">
      <c r="A8" s="73" t="s">
        <v>155</v>
      </c>
      <c r="B8" s="77"/>
      <c r="C8" s="94">
        <v>0.09</v>
      </c>
      <c r="D8" s="77"/>
      <c r="E8" s="77"/>
      <c r="F8" s="77"/>
      <c r="G8" s="77"/>
      <c r="H8" s="77"/>
      <c r="I8" s="77"/>
      <c r="J8" s="77"/>
      <c r="K8" s="77"/>
      <c r="L8" s="68"/>
      <c r="M8" s="68"/>
      <c r="N8" s="68"/>
      <c r="O8" s="91"/>
    </row>
    <row r="9" spans="1:15" x14ac:dyDescent="0.25">
      <c r="A9" s="71"/>
      <c r="B9" s="99" t="s">
        <v>123</v>
      </c>
      <c r="C9" s="92"/>
      <c r="D9" s="68">
        <f>-C4*C8</f>
        <v>291043.81799999991</v>
      </c>
      <c r="E9" s="68">
        <f>D9+(D9+-C4)*C8</f>
        <v>608281.57961999986</v>
      </c>
      <c r="F9" s="68">
        <f>E9+(E9-$C$4-F7)*$C$8</f>
        <v>931242.4995981548</v>
      </c>
      <c r="G9" s="68">
        <f>F9+(F9-$C$4-G7)*$C$8</f>
        <v>1245627.6621866988</v>
      </c>
      <c r="H9" s="68">
        <f>G9+(G9-$C$4-H7)*$C$8</f>
        <v>1546589.3292205667</v>
      </c>
      <c r="I9" s="68">
        <f>H9+(H9-$C$4-I7)*$C$8</f>
        <v>1828722.8084998378</v>
      </c>
      <c r="J9" s="68">
        <f>I9+(I9-$C$4-J7)*$C$8</f>
        <v>1993307.861264823</v>
      </c>
      <c r="K9" s="68"/>
      <c r="L9" s="68"/>
      <c r="M9" s="68"/>
      <c r="N9" s="79"/>
      <c r="O9" s="91"/>
    </row>
    <row r="10" spans="1:15" ht="16.5" thickBot="1" x14ac:dyDescent="0.3">
      <c r="A10" s="71"/>
      <c r="B10" s="100" t="s">
        <v>124</v>
      </c>
      <c r="C10" s="75"/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f>IF(J4-(J5-I5)&gt;J9,J9,(J4-(J5-I5)))</f>
        <v>1993307.861264823</v>
      </c>
      <c r="K10" s="67" t="s">
        <v>54</v>
      </c>
      <c r="L10" s="67"/>
      <c r="M10" s="67"/>
      <c r="N10" s="67"/>
      <c r="O10" s="89">
        <f>J10</f>
        <v>1993307.861264823</v>
      </c>
    </row>
    <row r="11" spans="1:15" ht="16.5" thickTop="1" x14ac:dyDescent="0.25">
      <c r="A11" s="101" t="s">
        <v>125</v>
      </c>
      <c r="B11" s="82"/>
      <c r="C11" s="82"/>
      <c r="D11" s="83"/>
      <c r="E11" s="83"/>
      <c r="F11" s="83"/>
      <c r="G11" s="83"/>
      <c r="H11" s="83"/>
      <c r="I11" s="83"/>
      <c r="J11" s="77"/>
      <c r="K11" s="77"/>
      <c r="L11" s="77"/>
      <c r="M11" s="77"/>
      <c r="N11" s="77"/>
      <c r="O11" s="103"/>
    </row>
    <row r="12" spans="1:15" x14ac:dyDescent="0.25">
      <c r="A12" s="71"/>
      <c r="B12" s="239" t="s">
        <v>126</v>
      </c>
      <c r="C12" s="78"/>
      <c r="D12" s="79"/>
      <c r="E12" s="79"/>
      <c r="F12" s="79"/>
      <c r="G12" s="79"/>
      <c r="H12" s="79"/>
      <c r="I12" s="79"/>
      <c r="J12" s="79">
        <f>J4-J6-J10</f>
        <v>2311232.652658239</v>
      </c>
      <c r="K12" s="79">
        <f>K4</f>
        <v>279310.28497920092</v>
      </c>
      <c r="L12" s="79">
        <f>L4</f>
        <v>330202.49841648107</v>
      </c>
      <c r="M12" s="79">
        <f>M4</f>
        <v>382600.42080279905</v>
      </c>
      <c r="N12" s="79">
        <f>N4</f>
        <v>10477166.541022807</v>
      </c>
      <c r="O12" s="95">
        <f>SUM(D12:N12)</f>
        <v>13780512.397879528</v>
      </c>
    </row>
    <row r="13" spans="1:15" ht="16.5" thickBot="1" x14ac:dyDescent="0.3">
      <c r="B13" s="240" t="s">
        <v>127</v>
      </c>
      <c r="C13" s="74"/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f>100000+0.3*(J12-200000)</f>
        <v>733369.79579747166</v>
      </c>
      <c r="K13" s="81">
        <f>100000+0.3*(K12-200000)</f>
        <v>123793.08549376027</v>
      </c>
      <c r="L13" s="81">
        <f>100000+0.3*(L12-200000)</f>
        <v>139060.74952494432</v>
      </c>
      <c r="M13" s="81">
        <f>100000+0.3*(M12-200000)</f>
        <v>154780.12624083972</v>
      </c>
      <c r="N13" s="81">
        <f>100000+0.3*(N12-200000)</f>
        <v>3183149.9623068422</v>
      </c>
      <c r="O13" s="90">
        <f>SUM(D13:N13)</f>
        <v>4334153.719363858</v>
      </c>
    </row>
    <row r="14" spans="1:15" ht="16.5" thickTop="1" x14ac:dyDescent="0.25">
      <c r="B14" s="72"/>
      <c r="C14" s="72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91"/>
    </row>
    <row r="15" spans="1:15" ht="16.5" thickBot="1" x14ac:dyDescent="0.3">
      <c r="B15" s="96" t="s">
        <v>128</v>
      </c>
      <c r="C15" s="97">
        <f>C4</f>
        <v>-3233820.1999999993</v>
      </c>
      <c r="D15" s="97">
        <f>D5+D10+D13</f>
        <v>0</v>
      </c>
      <c r="E15" s="97">
        <f>E5+E10+E13</f>
        <v>0</v>
      </c>
      <c r="F15" s="97">
        <f>F6+F10+F13</f>
        <v>253647.11319605529</v>
      </c>
      <c r="G15" s="97">
        <f>G6+G10+G13</f>
        <v>418247.11319605529</v>
      </c>
      <c r="H15" s="97">
        <f>H6+H10+H13</f>
        <v>463535.11319605529</v>
      </c>
      <c r="I15" s="97">
        <f>I6+I10+I13</f>
        <v>510163.75319605542</v>
      </c>
      <c r="J15" s="97">
        <f>J6+J10+J13</f>
        <v>4314904.7642780729</v>
      </c>
      <c r="K15" s="97">
        <f>K13</f>
        <v>123793.08549376027</v>
      </c>
      <c r="L15" s="97">
        <f>L5+L10+L13</f>
        <v>139060.74952494432</v>
      </c>
      <c r="M15" s="97">
        <f>M5+M10+M13</f>
        <v>154780.12624083972</v>
      </c>
      <c r="N15" s="97">
        <f>N5+N10+N13</f>
        <v>3183149.9623068422</v>
      </c>
      <c r="O15" s="98">
        <f>SUM(D15:N15)</f>
        <v>9561281.7806286812</v>
      </c>
    </row>
    <row r="16" spans="1:15" ht="16.5" thickBot="1" x14ac:dyDescent="0.3">
      <c r="B16" s="240" t="s">
        <v>129</v>
      </c>
      <c r="C16" s="251">
        <f>IRR(C15:N15)</f>
        <v>0.15231810606696095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90"/>
    </row>
    <row r="17" spans="1:15" ht="16.5" thickTop="1" x14ac:dyDescent="0.25">
      <c r="A17" s="71"/>
      <c r="C17" s="66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91"/>
    </row>
    <row r="18" spans="1:15" ht="16.5" thickBot="1" x14ac:dyDescent="0.3">
      <c r="A18" s="69" t="s">
        <v>130</v>
      </c>
      <c r="B18" s="76"/>
      <c r="C18" s="70"/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f>J12-J13</f>
        <v>1577862.8568607674</v>
      </c>
      <c r="K18" s="67">
        <f>K12-K13</f>
        <v>155517.19948544065</v>
      </c>
      <c r="L18" s="67">
        <f>L12-L13</f>
        <v>191141.74889153676</v>
      </c>
      <c r="M18" s="67">
        <f>M12-M13</f>
        <v>227820.29456195934</v>
      </c>
      <c r="N18" s="67">
        <f>N12-N13</f>
        <v>7294016.5787159652</v>
      </c>
      <c r="O18" s="89">
        <f>SUM(D18:N18)</f>
        <v>9446358.678515669</v>
      </c>
    </row>
    <row r="19" spans="1:15" ht="16.5" thickTop="1" x14ac:dyDescent="0.25"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5" x14ac:dyDescent="0.25">
      <c r="B20" t="s">
        <v>56</v>
      </c>
      <c r="C20" s="65">
        <f>O7+O10+O13</f>
        <v>9561281.7806286812</v>
      </c>
      <c r="D20" s="65" t="s">
        <v>70</v>
      </c>
      <c r="E20" s="65"/>
      <c r="F20" s="65"/>
      <c r="G20" s="65"/>
      <c r="H20" s="65"/>
      <c r="I20" s="65"/>
      <c r="J20" s="65"/>
      <c r="K20" s="65"/>
      <c r="L20" s="65"/>
      <c r="M20" s="65"/>
    </row>
    <row r="21" spans="1:15" x14ac:dyDescent="0.25">
      <c r="B21" t="s">
        <v>69</v>
      </c>
      <c r="C21" s="68">
        <f>O18</f>
        <v>9446358.678515669</v>
      </c>
      <c r="D21" s="65" t="s">
        <v>71</v>
      </c>
      <c r="E21" s="65"/>
      <c r="F21" s="65"/>
      <c r="G21" s="65"/>
      <c r="H21" s="65"/>
      <c r="I21" s="65"/>
      <c r="J21" s="65"/>
      <c r="K21" s="65"/>
      <c r="L21" s="65"/>
      <c r="M21" s="65"/>
    </row>
    <row r="22" spans="1:15" x14ac:dyDescent="0.25">
      <c r="B22" s="17" t="s">
        <v>158</v>
      </c>
      <c r="C22" s="65">
        <f>C20+C21</f>
        <v>19007640.45914435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5" x14ac:dyDescent="0.25">
      <c r="B23" s="104" t="s">
        <v>58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5" x14ac:dyDescent="0.25">
      <c r="B24" s="84" t="s">
        <v>131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5" x14ac:dyDescent="0.25">
      <c r="B25" t="s">
        <v>132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5" x14ac:dyDescent="0.25">
      <c r="B26" s="17" t="s">
        <v>157</v>
      </c>
      <c r="C26" s="65">
        <f>C21+0.1*C20</f>
        <v>10402486.856578536</v>
      </c>
      <c r="H26" s="65"/>
      <c r="J26" s="65"/>
    </row>
    <row r="27" spans="1:15" x14ac:dyDescent="0.25"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x14ac:dyDescent="0.25">
      <c r="H28" s="65"/>
    </row>
    <row r="29" spans="1:15" x14ac:dyDescent="0.25">
      <c r="H29" s="65"/>
      <c r="M29" s="65"/>
    </row>
    <row r="30" spans="1:15" x14ac:dyDescent="0.25">
      <c r="H30" s="65"/>
      <c r="J30" s="65"/>
    </row>
    <row r="31" spans="1:15" x14ac:dyDescent="0.25">
      <c r="H31" s="65"/>
      <c r="J31" s="65"/>
    </row>
  </sheetData>
  <mergeCells count="2">
    <mergeCell ref="B1:O1"/>
    <mergeCell ref="B2:O2"/>
  </mergeCells>
  <phoneticPr fontId="11" type="noConversion"/>
  <pageMargins left="0.75" right="0.75" top="1" bottom="1" header="0.5" footer="0.5"/>
  <headerFooter alignWithMargins="0">
    <oddHeader>&amp;C&amp;F&amp;A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Figure 2-11</vt:lpstr>
      <vt:lpstr>Figure 2-12</vt:lpstr>
      <vt:lpstr>Figure 2-13</vt:lpstr>
      <vt:lpstr>Figure 2-14</vt:lpstr>
      <vt:lpstr>Figure 2-15</vt:lpstr>
      <vt:lpstr>Figure 2-16</vt:lpstr>
      <vt:lpstr>Figure 2-17</vt:lpstr>
      <vt:lpstr>'Figure 2-11'!Print_Area</vt:lpstr>
      <vt:lpstr>'Figure 2-12'!Print_Area</vt:lpstr>
      <vt:lpstr>'Figure 2-13'!Print_Area</vt:lpstr>
      <vt:lpstr>'Figure 2-14'!Print_Area</vt:lpstr>
      <vt:lpstr>'Figure 2-15'!Print_Area</vt:lpstr>
      <vt:lpstr>'Figure 2-16'!Print_Area</vt:lpstr>
      <vt:lpstr>'Figure 2-17'!Print_Area</vt:lpstr>
      <vt:lpstr>'Figure 2-16'!Print_Titles</vt:lpstr>
    </vt:vector>
  </TitlesOfParts>
  <Company>Gateway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A. Long</dc:creator>
  <cp:lastModifiedBy>Carolyn Spaw</cp:lastModifiedBy>
  <cp:lastPrinted>2011-01-18T22:09:23Z</cp:lastPrinted>
  <dcterms:created xsi:type="dcterms:W3CDTF">2002-05-31T03:25:37Z</dcterms:created>
  <dcterms:modified xsi:type="dcterms:W3CDTF">2011-04-05T15:01:59Z</dcterms:modified>
</cp:coreProperties>
</file>